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5780" windowHeight="6975" tabRatio="667"/>
  </bookViews>
  <sheets>
    <sheet name="Zápis-4hráči" sheetId="1" r:id="rId1"/>
    <sheet name="statistika" sheetId="7" r:id="rId2"/>
    <sheet name="!!!čti mne!!!" sheetId="2" r:id="rId3"/>
    <sheet name="stav" sheetId="8" r:id="rId4"/>
    <sheet name="Soupisky" sheetId="9" r:id="rId5"/>
  </sheets>
  <definedNames>
    <definedName name="_xlnm._FilterDatabase" localSheetId="0" hidden="1">'Zápis-4hráči'!#REF!</definedName>
    <definedName name="_xlnm.Print_Area" localSheetId="1">statistika!$A$1:$U$18</definedName>
    <definedName name="_xlnm.Print_Area" localSheetId="0">'Zápis-4hráči'!$D$3:$AC$50</definedName>
  </definedNames>
  <calcPr calcId="145621"/>
</workbook>
</file>

<file path=xl/calcChain.xml><?xml version="1.0" encoding="utf-8"?>
<calcChain xmlns="http://schemas.openxmlformats.org/spreadsheetml/2006/main">
  <c r="AA42" i="1" l="1"/>
  <c r="Z42" i="1"/>
  <c r="AA41" i="1"/>
  <c r="Z41" i="1"/>
  <c r="AA40" i="1"/>
  <c r="Z40" i="1"/>
  <c r="AA39" i="1"/>
  <c r="Z39" i="1"/>
  <c r="AA38" i="1"/>
  <c r="Z38" i="1"/>
  <c r="AA37" i="1"/>
  <c r="Z37" i="1"/>
  <c r="DR14" i="1" l="1"/>
  <c r="DS14" i="1"/>
  <c r="DT14" i="1"/>
  <c r="DU14" i="1"/>
  <c r="DV14" i="1"/>
  <c r="DW14" i="1"/>
  <c r="DX14" i="1"/>
  <c r="DY14" i="1"/>
  <c r="DZ14" i="1"/>
  <c r="EA14" i="1"/>
  <c r="EB14" i="1"/>
  <c r="EC14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DQ17" i="1"/>
  <c r="DQ16" i="1"/>
  <c r="DQ15" i="1"/>
  <c r="DQ14" i="1"/>
  <c r="G16" i="1"/>
  <c r="DS21" i="1"/>
  <c r="DS36" i="1" s="1"/>
  <c r="DT21" i="1"/>
  <c r="DT37" i="1" s="1"/>
  <c r="DU21" i="1"/>
  <c r="DU39" i="1" s="1"/>
  <c r="DV21" i="1"/>
  <c r="DW21" i="1"/>
  <c r="DW36" i="1" s="1"/>
  <c r="DX21" i="1"/>
  <c r="DX34" i="1" s="1"/>
  <c r="DY21" i="1"/>
  <c r="DY27" i="1" s="1"/>
  <c r="DZ21" i="1"/>
  <c r="EA21" i="1"/>
  <c r="EA25" i="1" s="1"/>
  <c r="EB21" i="1"/>
  <c r="EB39" i="1" s="1"/>
  <c r="EC21" i="1"/>
  <c r="EC23" i="1" s="1"/>
  <c r="ED21" i="1"/>
  <c r="EE21" i="1"/>
  <c r="EE36" i="1" s="1"/>
  <c r="DR21" i="1"/>
  <c r="DR31" i="1" s="1"/>
  <c r="AE26" i="1"/>
  <c r="AQ26" i="1" s="1"/>
  <c r="AF26" i="1"/>
  <c r="AW26" i="1" s="1"/>
  <c r="AG26" i="1"/>
  <c r="AX26" i="1" s="1"/>
  <c r="AH26" i="1"/>
  <c r="AY26" i="1" s="1"/>
  <c r="AI26" i="1"/>
  <c r="BE26" i="1" s="1"/>
  <c r="AE23" i="1"/>
  <c r="AF23" i="1"/>
  <c r="AW23" i="1" s="1"/>
  <c r="AG23" i="1"/>
  <c r="AM23" i="1" s="1"/>
  <c r="AH23" i="1"/>
  <c r="AY23" i="1" s="1"/>
  <c r="AI23" i="1"/>
  <c r="AE27" i="1"/>
  <c r="AF27" i="1"/>
  <c r="AW27" i="1" s="1"/>
  <c r="AG27" i="1"/>
  <c r="BC27" i="1" s="1"/>
  <c r="AH27" i="1"/>
  <c r="BD27" i="1" s="1"/>
  <c r="AI27" i="1"/>
  <c r="AZ27" i="1" s="1"/>
  <c r="AE28" i="1"/>
  <c r="AQ28" i="1" s="1"/>
  <c r="AF28" i="1"/>
  <c r="BB28" i="1" s="1"/>
  <c r="AG28" i="1"/>
  <c r="AX28" i="1" s="1"/>
  <c r="AH28" i="1"/>
  <c r="AY28" i="1" s="1"/>
  <c r="AI28" i="1"/>
  <c r="AZ28" i="1" s="1"/>
  <c r="AE29" i="1"/>
  <c r="BA29" i="1" s="1"/>
  <c r="AF29" i="1"/>
  <c r="BB29" i="1" s="1"/>
  <c r="AG29" i="1"/>
  <c r="BC29" i="1" s="1"/>
  <c r="AH29" i="1"/>
  <c r="AY29" i="1" s="1"/>
  <c r="AI29" i="1"/>
  <c r="BE29" i="1" s="1"/>
  <c r="AE30" i="1"/>
  <c r="AQ30" i="1" s="1"/>
  <c r="AF30" i="1"/>
  <c r="BB30" i="1" s="1"/>
  <c r="AG30" i="1"/>
  <c r="AX30" i="1" s="1"/>
  <c r="AH30" i="1"/>
  <c r="AY30" i="1" s="1"/>
  <c r="AI30" i="1"/>
  <c r="AZ30" i="1" s="1"/>
  <c r="AE31" i="1"/>
  <c r="AK31" i="1" s="1"/>
  <c r="AF31" i="1"/>
  <c r="AW31" i="1" s="1"/>
  <c r="AG31" i="1"/>
  <c r="BC31" i="1" s="1"/>
  <c r="AH31" i="1"/>
  <c r="AY31" i="1" s="1"/>
  <c r="AI31" i="1"/>
  <c r="BE31" i="1" s="1"/>
  <c r="AE32" i="1"/>
  <c r="AK32" i="1" s="1"/>
  <c r="AF32" i="1"/>
  <c r="BB32" i="1" s="1"/>
  <c r="AG32" i="1"/>
  <c r="AX32" i="1" s="1"/>
  <c r="AH32" i="1"/>
  <c r="AY32" i="1" s="1"/>
  <c r="AI32" i="1"/>
  <c r="AZ32" i="1" s="1"/>
  <c r="AE33" i="1"/>
  <c r="AK33" i="1" s="1"/>
  <c r="AF33" i="1"/>
  <c r="AW33" i="1" s="1"/>
  <c r="AG33" i="1"/>
  <c r="BC33" i="1" s="1"/>
  <c r="AH33" i="1"/>
  <c r="AY33" i="1" s="1"/>
  <c r="AI33" i="1"/>
  <c r="BE33" i="1" s="1"/>
  <c r="AE34" i="1"/>
  <c r="BU32" i="1" s="1"/>
  <c r="AF34" i="1"/>
  <c r="BB34" i="1" s="1"/>
  <c r="AG34" i="1"/>
  <c r="AX34" i="1" s="1"/>
  <c r="AH34" i="1"/>
  <c r="AY34" i="1" s="1"/>
  <c r="AI34" i="1"/>
  <c r="AZ34" i="1" s="1"/>
  <c r="AE35" i="1"/>
  <c r="AF35" i="1"/>
  <c r="AW35" i="1" s="1"/>
  <c r="AG35" i="1"/>
  <c r="AM35" i="1" s="1"/>
  <c r="AH35" i="1"/>
  <c r="BD35" i="1" s="1"/>
  <c r="AI35" i="1"/>
  <c r="AZ35" i="1" s="1"/>
  <c r="AE36" i="1"/>
  <c r="AQ36" i="1" s="1"/>
  <c r="AF36" i="1"/>
  <c r="BB36" i="1" s="1"/>
  <c r="AG36" i="1"/>
  <c r="AX36" i="1" s="1"/>
  <c r="AH36" i="1"/>
  <c r="AY36" i="1" s="1"/>
  <c r="AI36" i="1"/>
  <c r="AZ36" i="1" s="1"/>
  <c r="BD36" i="1"/>
  <c r="AE37" i="1"/>
  <c r="BV32" i="1" s="1"/>
  <c r="AF37" i="1"/>
  <c r="AW37" i="1" s="1"/>
  <c r="AG37" i="1"/>
  <c r="AH37" i="1"/>
  <c r="BD37" i="1" s="1"/>
  <c r="AY37" i="1"/>
  <c r="AI37" i="1"/>
  <c r="AZ37" i="1" s="1"/>
  <c r="AE38" i="1"/>
  <c r="AF38" i="1"/>
  <c r="BB38" i="1" s="1"/>
  <c r="AG38" i="1"/>
  <c r="AX38" i="1" s="1"/>
  <c r="AH38" i="1"/>
  <c r="AY38" i="1" s="1"/>
  <c r="AI38" i="1"/>
  <c r="AZ38" i="1" s="1"/>
  <c r="AE39" i="1"/>
  <c r="AF39" i="1"/>
  <c r="AW39" i="1"/>
  <c r="AG39" i="1"/>
  <c r="AX39" i="1" s="1"/>
  <c r="BC39" i="1"/>
  <c r="AH39" i="1"/>
  <c r="AY39" i="1" s="1"/>
  <c r="AI39" i="1"/>
  <c r="BB39" i="1"/>
  <c r="BD39" i="1"/>
  <c r="AE40" i="1"/>
  <c r="AF40" i="1"/>
  <c r="AW40" i="1"/>
  <c r="AG40" i="1"/>
  <c r="AH40" i="1"/>
  <c r="AY40" i="1" s="1"/>
  <c r="AI40" i="1"/>
  <c r="AZ40" i="1" s="1"/>
  <c r="BA40" i="1"/>
  <c r="BB40" i="1"/>
  <c r="AE41" i="1"/>
  <c r="BA41" i="1"/>
  <c r="AF41" i="1"/>
  <c r="BB41" i="1"/>
  <c r="AG41" i="1"/>
  <c r="AX41" i="1" s="1"/>
  <c r="BC41" i="1"/>
  <c r="AH41" i="1"/>
  <c r="AY41" i="1" s="1"/>
  <c r="AI41" i="1"/>
  <c r="BD41" i="1"/>
  <c r="F31" i="1"/>
  <c r="F38" i="1" s="1"/>
  <c r="F41" i="1" s="1"/>
  <c r="BR41" i="1" s="1"/>
  <c r="AE42" i="1"/>
  <c r="AV42" i="1"/>
  <c r="AF42" i="1"/>
  <c r="AW42" i="1"/>
  <c r="AG42" i="1"/>
  <c r="AX42" i="1"/>
  <c r="AH42" i="1"/>
  <c r="AY42" i="1"/>
  <c r="AI42" i="1"/>
  <c r="AZ42" i="1"/>
  <c r="BA42" i="1"/>
  <c r="BB42" i="1"/>
  <c r="BC42" i="1"/>
  <c r="BD42" i="1"/>
  <c r="BE42" i="1"/>
  <c r="M33" i="1"/>
  <c r="F34" i="1"/>
  <c r="F37" i="1" s="1"/>
  <c r="F40" i="1" s="1"/>
  <c r="BR40" i="1" s="1"/>
  <c r="DP17" i="1"/>
  <c r="DP16" i="1"/>
  <c r="DP15" i="1"/>
  <c r="DP14" i="1"/>
  <c r="CW25" i="1"/>
  <c r="L6" i="7" s="1"/>
  <c r="CW24" i="1"/>
  <c r="L5" i="7" s="1"/>
  <c r="BR25" i="1"/>
  <c r="A6" i="7" s="1"/>
  <c r="BR24" i="1"/>
  <c r="A5" i="7" s="1"/>
  <c r="A2" i="8"/>
  <c r="AF2" i="1"/>
  <c r="A5" i="8"/>
  <c r="H5" i="8"/>
  <c r="DQ10" i="1"/>
  <c r="DQ11" i="1"/>
  <c r="DQ12" i="1"/>
  <c r="DQ13" i="1"/>
  <c r="DP10" i="1"/>
  <c r="DP11" i="1"/>
  <c r="DP12" i="1"/>
  <c r="DP13" i="1"/>
  <c r="DQ9" i="1"/>
  <c r="DQ8" i="1"/>
  <c r="DQ7" i="1"/>
  <c r="DQ6" i="1"/>
  <c r="DP6" i="1"/>
  <c r="DP7" i="1"/>
  <c r="DP8" i="1"/>
  <c r="DP9" i="1"/>
  <c r="M34" i="1"/>
  <c r="M32" i="1"/>
  <c r="M36" i="1" s="1"/>
  <c r="M31" i="1"/>
  <c r="M35" i="1" s="1"/>
  <c r="M39" i="1" s="1"/>
  <c r="CW39" i="1" s="1"/>
  <c r="F33" i="1"/>
  <c r="BR33" i="1" s="1"/>
  <c r="F32" i="1"/>
  <c r="J13" i="8"/>
  <c r="G11" i="8"/>
  <c r="J9" i="8"/>
  <c r="G7" i="8"/>
  <c r="AQ40" i="1"/>
  <c r="AR40" i="1"/>
  <c r="AQ41" i="1"/>
  <c r="AR41" i="1"/>
  <c r="AS41" i="1"/>
  <c r="AQ42" i="1"/>
  <c r="AR42" i="1"/>
  <c r="AS42" i="1"/>
  <c r="AK26" i="1"/>
  <c r="AL36" i="1"/>
  <c r="AK37" i="1"/>
  <c r="AL37" i="1"/>
  <c r="AM37" i="1"/>
  <c r="AL38" i="1"/>
  <c r="AM38" i="1"/>
  <c r="AL39" i="1"/>
  <c r="AM39" i="1"/>
  <c r="AK40" i="1"/>
  <c r="AL40" i="1"/>
  <c r="AM40" i="1"/>
  <c r="AK41" i="1"/>
  <c r="AL41" i="1"/>
  <c r="AM41" i="1"/>
  <c r="AK42" i="1"/>
  <c r="AL42" i="1"/>
  <c r="AM42" i="1"/>
  <c r="CW23" i="1"/>
  <c r="L4" i="7" s="1"/>
  <c r="CW26" i="1"/>
  <c r="L7" i="7" s="1"/>
  <c r="BS32" i="1"/>
  <c r="BS35" i="1"/>
  <c r="BS31" i="1"/>
  <c r="BS38" i="1"/>
  <c r="BS34" i="1"/>
  <c r="BS37" i="1"/>
  <c r="BS33" i="1"/>
  <c r="BS36" i="1"/>
  <c r="BS39" i="1"/>
  <c r="AN34" i="1"/>
  <c r="AO34" i="1"/>
  <c r="BV35" i="1"/>
  <c r="BU35" i="1"/>
  <c r="BZ35" i="1"/>
  <c r="BY35" i="1"/>
  <c r="BY33" i="1"/>
  <c r="BY32" i="1"/>
  <c r="BY34" i="1"/>
  <c r="AT34" i="1"/>
  <c r="CV34" i="1"/>
  <c r="CV38" i="1"/>
  <c r="CV42" i="1" s="1"/>
  <c r="CV33" i="1"/>
  <c r="CV32" i="1"/>
  <c r="CM33" i="1" s="1"/>
  <c r="CV31" i="1"/>
  <c r="CJ35" i="1"/>
  <c r="BG42" i="1"/>
  <c r="CM34" i="1"/>
  <c r="CM35" i="1"/>
  <c r="CW27" i="1"/>
  <c r="L10" i="7" s="1"/>
  <c r="CW28" i="1"/>
  <c r="L11" i="7" s="1"/>
  <c r="CW29" i="1"/>
  <c r="L12" i="7" s="1"/>
  <c r="CW30" i="1"/>
  <c r="L13" i="7" s="1"/>
  <c r="BR22" i="1"/>
  <c r="A1" i="7" s="1"/>
  <c r="CW22" i="1"/>
  <c r="L1" i="7" s="1"/>
  <c r="BR23" i="1"/>
  <c r="A4" i="7" s="1"/>
  <c r="BR29" i="1"/>
  <c r="A12" i="7" s="1"/>
  <c r="BR30" i="1"/>
  <c r="A13" i="7" s="1"/>
  <c r="AT26" i="1"/>
  <c r="AU26" i="1"/>
  <c r="AT30" i="1"/>
  <c r="AU30" i="1"/>
  <c r="AU33" i="1"/>
  <c r="AN30" i="1"/>
  <c r="AO30" i="1"/>
  <c r="AO33" i="1"/>
  <c r="AT28" i="1"/>
  <c r="AU32" i="1"/>
  <c r="AN28" i="1"/>
  <c r="AO32" i="1"/>
  <c r="AT29" i="1"/>
  <c r="AU29" i="1"/>
  <c r="AN29" i="1"/>
  <c r="AO29" i="1"/>
  <c r="AO31" i="1"/>
  <c r="AT27" i="1"/>
  <c r="AU27" i="1"/>
  <c r="AT23" i="1"/>
  <c r="AN27" i="1"/>
  <c r="AO27" i="1"/>
  <c r="AN23" i="1"/>
  <c r="BR26" i="1"/>
  <c r="A7" i="7" s="1"/>
  <c r="BR28" i="1"/>
  <c r="A11" i="7" s="1"/>
  <c r="BR27" i="1"/>
  <c r="A10" i="7" s="1"/>
  <c r="BS27" i="1"/>
  <c r="CV26" i="1"/>
  <c r="CV27" i="1"/>
  <c r="CV28" i="1"/>
  <c r="CV29" i="1"/>
  <c r="CV30" i="1"/>
  <c r="CV23" i="1"/>
  <c r="BS26" i="1"/>
  <c r="BS28" i="1"/>
  <c r="BS29" i="1"/>
  <c r="BS30" i="1"/>
  <c r="BS23" i="1"/>
  <c r="BR34" i="1"/>
  <c r="DV29" i="1"/>
  <c r="DZ32" i="1"/>
  <c r="CW35" i="1"/>
  <c r="BS40" i="1"/>
  <c r="CG32" i="1" s="1"/>
  <c r="CE32" i="1"/>
  <c r="BS42" i="1"/>
  <c r="AW41" i="1"/>
  <c r="BS41" i="1"/>
  <c r="AV39" i="1"/>
  <c r="BF39" i="1"/>
  <c r="DZ22" i="1"/>
  <c r="DV38" i="1"/>
  <c r="DZ23" i="1"/>
  <c r="DZ39" i="1"/>
  <c r="DZ24" i="1"/>
  <c r="AV41" i="1"/>
  <c r="BD34" i="1"/>
  <c r="BD32" i="1"/>
  <c r="BD30" i="1"/>
  <c r="BD28" i="1"/>
  <c r="BW32" i="1"/>
  <c r="CA32" i="1"/>
  <c r="BF41" i="1"/>
  <c r="BW28" i="1" s="1"/>
  <c r="BP41" i="1"/>
  <c r="BW33" i="1"/>
  <c r="CE33" i="1"/>
  <c r="CA33" i="1"/>
  <c r="CG33" i="1"/>
  <c r="BG41" i="1"/>
  <c r="CA28" i="1" s="1"/>
  <c r="BQ41" i="1"/>
  <c r="E16" i="7"/>
  <c r="F16" i="7" s="1"/>
  <c r="AZ29" i="1" l="1"/>
  <c r="AY27" i="1"/>
  <c r="AK36" i="1"/>
  <c r="F36" i="1"/>
  <c r="F39" i="1" s="1"/>
  <c r="BR39" i="1" s="1"/>
  <c r="AU31" i="1"/>
  <c r="AN33" i="1"/>
  <c r="AT33" i="1"/>
  <c r="AU34" i="1"/>
  <c r="AZ33" i="1"/>
  <c r="BE30" i="1"/>
  <c r="AM34" i="1"/>
  <c r="AM33" i="1"/>
  <c r="AL23" i="1"/>
  <c r="BR38" i="1"/>
  <c r="BR31" i="1"/>
  <c r="M40" i="1"/>
  <c r="CW40" i="1" s="1"/>
  <c r="CW36" i="1"/>
  <c r="CW32" i="1"/>
  <c r="AT32" i="1"/>
  <c r="CI35" i="1"/>
  <c r="BE32" i="1"/>
  <c r="AL34" i="1"/>
  <c r="AS33" i="1"/>
  <c r="AQ33" i="1"/>
  <c r="AL32" i="1"/>
  <c r="CD34" i="1"/>
  <c r="BU33" i="1"/>
  <c r="AK29" i="1"/>
  <c r="AS29" i="1"/>
  <c r="BD23" i="1"/>
  <c r="CW31" i="1"/>
  <c r="BR37" i="1"/>
  <c r="DQ5" i="1"/>
  <c r="DP5" i="1"/>
  <c r="DS22" i="1"/>
  <c r="DS38" i="1"/>
  <c r="DS23" i="1"/>
  <c r="DS31" i="1"/>
  <c r="EA38" i="1"/>
  <c r="DS35" i="1"/>
  <c r="DW37" i="1"/>
  <c r="DX35" i="1"/>
  <c r="EE32" i="1"/>
  <c r="DW22" i="1"/>
  <c r="EB36" i="1"/>
  <c r="DS37" i="1"/>
  <c r="DS39" i="1"/>
  <c r="DS25" i="1"/>
  <c r="DS27" i="1"/>
  <c r="EA23" i="1"/>
  <c r="DS34" i="1"/>
  <c r="DS29" i="1"/>
  <c r="DS24" i="1"/>
  <c r="DR25" i="1"/>
  <c r="DR32" i="1"/>
  <c r="DS26" i="1"/>
  <c r="DR22" i="1"/>
  <c r="DR23" i="1"/>
  <c r="DR39" i="1"/>
  <c r="AN31" i="1"/>
  <c r="AT31" i="1"/>
  <c r="AN32" i="1"/>
  <c r="AL33" i="1"/>
  <c r="AJ33" i="1" s="1"/>
  <c r="AK30" i="1"/>
  <c r="AR34" i="1"/>
  <c r="BE34" i="1"/>
  <c r="AZ31" i="1"/>
  <c r="BE27" i="1"/>
  <c r="AV23" i="1"/>
  <c r="AW36" i="1"/>
  <c r="AV36" i="1"/>
  <c r="BC34" i="1"/>
  <c r="CR35" i="1"/>
  <c r="AV34" i="1"/>
  <c r="AQ34" i="1"/>
  <c r="AK34" i="1"/>
  <c r="AX33" i="1"/>
  <c r="CI34" i="1"/>
  <c r="BB33" i="1"/>
  <c r="AA33" i="1" s="1"/>
  <c r="AV33" i="1"/>
  <c r="Z33" i="1"/>
  <c r="BA33" i="1"/>
  <c r="AM32" i="1"/>
  <c r="BC32" i="1"/>
  <c r="BU34" i="1"/>
  <c r="AR32" i="1"/>
  <c r="AV32" i="1"/>
  <c r="AS32" i="1"/>
  <c r="AS31" i="1"/>
  <c r="AM31" i="1"/>
  <c r="AX31" i="1"/>
  <c r="AL31" i="1"/>
  <c r="BB31" i="1"/>
  <c r="AV31" i="1"/>
  <c r="BA31" i="1"/>
  <c r="BC30" i="1"/>
  <c r="AL30" i="1"/>
  <c r="AR30" i="1"/>
  <c r="AV30" i="1"/>
  <c r="AR29" i="1"/>
  <c r="AV29" i="1"/>
  <c r="AA29" i="1"/>
  <c r="AM28" i="1"/>
  <c r="AL28" i="1"/>
  <c r="AW28" i="1"/>
  <c r="AS28" i="1"/>
  <c r="AR28" i="1"/>
  <c r="AK28" i="1"/>
  <c r="AV28" i="1"/>
  <c r="AO26" i="1"/>
  <c r="AZ26" i="1"/>
  <c r="AN26" i="1"/>
  <c r="BD26" i="1"/>
  <c r="AM26" i="1"/>
  <c r="AS26" i="1"/>
  <c r="BA26" i="1"/>
  <c r="AM27" i="1"/>
  <c r="AL27" i="1"/>
  <c r="AV27" i="1"/>
  <c r="AQ23" i="1"/>
  <c r="DR35" i="1"/>
  <c r="DR34" i="1"/>
  <c r="DR26" i="1"/>
  <c r="AO28" i="1"/>
  <c r="AU28" i="1"/>
  <c r="BD38" i="1"/>
  <c r="BE36" i="1"/>
  <c r="BA34" i="1"/>
  <c r="AA34" i="1" s="1"/>
  <c r="BG34" i="1" s="1"/>
  <c r="BD33" i="1"/>
  <c r="BD31" i="1"/>
  <c r="BD29" i="1"/>
  <c r="BB27" i="1"/>
  <c r="BE38" i="1"/>
  <c r="BC38" i="1"/>
  <c r="AS38" i="1"/>
  <c r="BE28" i="1"/>
  <c r="DX36" i="1"/>
  <c r="DR36" i="1"/>
  <c r="DR37" i="1"/>
  <c r="DT27" i="1"/>
  <c r="ED35" i="1"/>
  <c r="DR24" i="1"/>
  <c r="DR29" i="1"/>
  <c r="DT30" i="1"/>
  <c r="DT32" i="1"/>
  <c r="DU38" i="1"/>
  <c r="DY24" i="1"/>
  <c r="DX30" i="1"/>
  <c r="DT23" i="1"/>
  <c r="DR28" i="1"/>
  <c r="DT25" i="1"/>
  <c r="DR27" i="1"/>
  <c r="DT34" i="1"/>
  <c r="DT29" i="1"/>
  <c r="ED23" i="1"/>
  <c r="DT36" i="1"/>
  <c r="DT39" i="1"/>
  <c r="DR38" i="1"/>
  <c r="DX37" i="1"/>
  <c r="DT24" i="1"/>
  <c r="DT22" i="1"/>
  <c r="DT38" i="1"/>
  <c r="DR33" i="1"/>
  <c r="DT28" i="1"/>
  <c r="DT33" i="1"/>
  <c r="DY22" i="1"/>
  <c r="ED28" i="1"/>
  <c r="BE37" i="1"/>
  <c r="AW38" i="1"/>
  <c r="AR38" i="1"/>
  <c r="AQ38" i="1"/>
  <c r="CD33" i="1"/>
  <c r="BV33" i="1"/>
  <c r="AK38" i="1"/>
  <c r="BA38" i="1"/>
  <c r="AV38" i="1"/>
  <c r="CF33" i="1"/>
  <c r="BB37" i="1"/>
  <c r="CF32" i="1"/>
  <c r="BE35" i="1"/>
  <c r="AY35" i="1"/>
  <c r="AM36" i="1"/>
  <c r="BC36" i="1"/>
  <c r="AS36" i="1"/>
  <c r="AR36" i="1"/>
  <c r="BA36" i="1"/>
  <c r="AA36" i="1" s="1"/>
  <c r="BB35" i="1"/>
  <c r="AL35" i="1"/>
  <c r="AW34" i="1"/>
  <c r="CB32" i="1"/>
  <c r="AS34" i="1"/>
  <c r="AR33" i="1"/>
  <c r="AW32" i="1"/>
  <c r="AQ32" i="1"/>
  <c r="AR31" i="1"/>
  <c r="AQ31" i="1"/>
  <c r="AM30" i="1"/>
  <c r="AJ30" i="1" s="1"/>
  <c r="AW30" i="1"/>
  <c r="AS30" i="1"/>
  <c r="AP30" i="1" s="1"/>
  <c r="AM29" i="1"/>
  <c r="AX29" i="1"/>
  <c r="AQ29" i="1"/>
  <c r="BC28" i="1"/>
  <c r="AX27" i="1"/>
  <c r="BA27" i="1"/>
  <c r="AR27" i="1"/>
  <c r="AS27" i="1"/>
  <c r="AK27" i="1"/>
  <c r="AQ27" i="1"/>
  <c r="BC26" i="1"/>
  <c r="AL26" i="1"/>
  <c r="AR26" i="1"/>
  <c r="AV26" i="1"/>
  <c r="Z25" i="1" s="1"/>
  <c r="BH26" i="1" s="1"/>
  <c r="AK23" i="1"/>
  <c r="AR23" i="1"/>
  <c r="AS23" i="1"/>
  <c r="CK30" i="1"/>
  <c r="CD35" i="1"/>
  <c r="CA35" i="1"/>
  <c r="CC35" i="1" s="1"/>
  <c r="BW35" i="1"/>
  <c r="CB35" i="1" s="1"/>
  <c r="DW32" i="1"/>
  <c r="DW33" i="1"/>
  <c r="DW34" i="1"/>
  <c r="DW35" i="1"/>
  <c r="DY33" i="1"/>
  <c r="EB29" i="1"/>
  <c r="DY31" i="1"/>
  <c r="DY32" i="1"/>
  <c r="EB33" i="1"/>
  <c r="EB34" i="1"/>
  <c r="DY35" i="1"/>
  <c r="EB27" i="1"/>
  <c r="DY30" i="1"/>
  <c r="EB31" i="1"/>
  <c r="EB32" i="1"/>
  <c r="EC34" i="1"/>
  <c r="EB35" i="1"/>
  <c r="EC32" i="1"/>
  <c r="EB26" i="1"/>
  <c r="DY29" i="1"/>
  <c r="DW26" i="1"/>
  <c r="DW29" i="1"/>
  <c r="DY26" i="1"/>
  <c r="DU25" i="1"/>
  <c r="EE33" i="1"/>
  <c r="EA32" i="1"/>
  <c r="EE29" i="1"/>
  <c r="EA28" i="1"/>
  <c r="EE25" i="1"/>
  <c r="DU32" i="1"/>
  <c r="DU28" i="1"/>
  <c r="EC31" i="1"/>
  <c r="DW25" i="1"/>
  <c r="EB30" i="1"/>
  <c r="EC25" i="1"/>
  <c r="EA35" i="1"/>
  <c r="EA33" i="1"/>
  <c r="EE31" i="1"/>
  <c r="EA26" i="1"/>
  <c r="DU35" i="1"/>
  <c r="DU33" i="1"/>
  <c r="DU26" i="1"/>
  <c r="EC36" i="1"/>
  <c r="DU37" i="1"/>
  <c r="DX38" i="1"/>
  <c r="EA39" i="1"/>
  <c r="DX33" i="1"/>
  <c r="DX25" i="1"/>
  <c r="DX22" i="1"/>
  <c r="EC26" i="1"/>
  <c r="EB25" i="1"/>
  <c r="DW27" i="1"/>
  <c r="EB28" i="1"/>
  <c r="DY25" i="1"/>
  <c r="EE34" i="1"/>
  <c r="EA31" i="1"/>
  <c r="EA29" i="1"/>
  <c r="EE27" i="1"/>
  <c r="DU31" i="1"/>
  <c r="DU29" i="1"/>
  <c r="DY36" i="1"/>
  <c r="DY37" i="1"/>
  <c r="EB38" i="1"/>
  <c r="EE39" i="1"/>
  <c r="DX31" i="1"/>
  <c r="DW23" i="1"/>
  <c r="EA24" i="1"/>
  <c r="DW24" i="1"/>
  <c r="EA37" i="1"/>
  <c r="DX28" i="1"/>
  <c r="EA22" i="1"/>
  <c r="EE23" i="1"/>
  <c r="DX23" i="1"/>
  <c r="DU24" i="1"/>
  <c r="DY38" i="1"/>
  <c r="EC30" i="1"/>
  <c r="BP42" i="1"/>
  <c r="BF42" i="1"/>
  <c r="BW29" i="1" s="1"/>
  <c r="BQ42" i="1"/>
  <c r="ED34" i="1"/>
  <c r="ED30" i="1"/>
  <c r="ED26" i="1"/>
  <c r="ED29" i="1"/>
  <c r="DQ29" i="1" s="1"/>
  <c r="ED27" i="1"/>
  <c r="ED32" i="1"/>
  <c r="ED22" i="1"/>
  <c r="ED38" i="1"/>
  <c r="ED36" i="1"/>
  <c r="DZ25" i="1"/>
  <c r="DZ33" i="1"/>
  <c r="DZ29" i="1"/>
  <c r="DZ31" i="1"/>
  <c r="DZ34" i="1"/>
  <c r="DZ27" i="1"/>
  <c r="DQ38" i="1"/>
  <c r="M37" i="1"/>
  <c r="CW33" i="1"/>
  <c r="AZ23" i="1"/>
  <c r="BE23" i="1"/>
  <c r="AU23" i="1"/>
  <c r="AO23" i="1"/>
  <c r="DV35" i="1"/>
  <c r="DP35" i="1" s="1"/>
  <c r="DV31" i="1"/>
  <c r="DV27" i="1"/>
  <c r="DV30" i="1"/>
  <c r="DV28" i="1"/>
  <c r="DQ21" i="1"/>
  <c r="DV37" i="1"/>
  <c r="DV24" i="1"/>
  <c r="DV33" i="1"/>
  <c r="DV26" i="1"/>
  <c r="DQ26" i="1" s="1"/>
  <c r="DP21" i="1"/>
  <c r="DV36" i="1"/>
  <c r="DV39" i="1"/>
  <c r="BW30" i="1"/>
  <c r="J16" i="7"/>
  <c r="CA34" i="1"/>
  <c r="BW34" i="1"/>
  <c r="EC38" i="1"/>
  <c r="EA36" i="1"/>
  <c r="ED24" i="1"/>
  <c r="EB22" i="1"/>
  <c r="ED39" i="1"/>
  <c r="DW38" i="1"/>
  <c r="DP38" i="1" s="1"/>
  <c r="EC24" i="1"/>
  <c r="DU23" i="1"/>
  <c r="DX26" i="1"/>
  <c r="DZ38" i="1"/>
  <c r="DY23" i="1"/>
  <c r="DU22" i="1"/>
  <c r="EB23" i="1"/>
  <c r="EC37" i="1"/>
  <c r="DZ37" i="1"/>
  <c r="CF35" i="1"/>
  <c r="CF34" i="1"/>
  <c r="DZ26" i="1"/>
  <c r="DU30" i="1"/>
  <c r="ED33" i="1"/>
  <c r="EE26" i="1"/>
  <c r="EA30" i="1"/>
  <c r="DV34" i="1"/>
  <c r="DY28" i="1"/>
  <c r="CI32" i="1"/>
  <c r="CM32" i="1"/>
  <c r="CV35" i="1"/>
  <c r="M38" i="1"/>
  <c r="CW34" i="1"/>
  <c r="G16" i="7"/>
  <c r="A16" i="7"/>
  <c r="EC39" i="1"/>
  <c r="EB24" i="1"/>
  <c r="DX27" i="1"/>
  <c r="ED37" i="1"/>
  <c r="DZ30" i="1"/>
  <c r="EA27" i="1"/>
  <c r="EA34" i="1"/>
  <c r="DV25" i="1"/>
  <c r="EC28" i="1"/>
  <c r="CU35" i="1"/>
  <c r="CO35" i="1"/>
  <c r="CT35" i="1"/>
  <c r="CI33" i="1"/>
  <c r="CV36" i="1"/>
  <c r="F35" i="1"/>
  <c r="BR32" i="1"/>
  <c r="H16" i="7"/>
  <c r="I16" i="7" s="1"/>
  <c r="DX24" i="1"/>
  <c r="DW39" i="1"/>
  <c r="CG35" i="1"/>
  <c r="DU27" i="1"/>
  <c r="DU34" i="1"/>
  <c r="EE30" i="1"/>
  <c r="EC27" i="1"/>
  <c r="C16" i="7"/>
  <c r="CA29" i="1"/>
  <c r="D16" i="7"/>
  <c r="CK35" i="1"/>
  <c r="CP35" i="1" s="1"/>
  <c r="DX39" i="1"/>
  <c r="EE24" i="1"/>
  <c r="DV23" i="1"/>
  <c r="EE38" i="1"/>
  <c r="EB37" i="1"/>
  <c r="DZ36" i="1"/>
  <c r="DV22" i="1"/>
  <c r="DX32" i="1"/>
  <c r="DY39" i="1"/>
  <c r="EE37" i="1"/>
  <c r="EE22" i="1"/>
  <c r="EC22" i="1"/>
  <c r="DX29" i="1"/>
  <c r="DU36" i="1"/>
  <c r="CE35" i="1"/>
  <c r="DZ28" i="1"/>
  <c r="ED31" i="1"/>
  <c r="DZ35" i="1"/>
  <c r="EE35" i="1"/>
  <c r="EE28" i="1"/>
  <c r="DV32" i="1"/>
  <c r="DP32" i="1" s="1"/>
  <c r="ED25" i="1"/>
  <c r="DW31" i="1"/>
  <c r="CV37" i="1"/>
  <c r="CD32" i="1"/>
  <c r="BZ32" i="1"/>
  <c r="CC32" i="1" s="1"/>
  <c r="CE34" i="1"/>
  <c r="BV34" i="1"/>
  <c r="BZ34" i="1"/>
  <c r="CG34" i="1"/>
  <c r="AJ32" i="1"/>
  <c r="AV35" i="1"/>
  <c r="AS35" i="1"/>
  <c r="BA35" i="1"/>
  <c r="AR35" i="1"/>
  <c r="AK35" i="1"/>
  <c r="CS35" i="1"/>
  <c r="AP26" i="1"/>
  <c r="AV37" i="1"/>
  <c r="BF37" i="1" s="1"/>
  <c r="BV27" i="1" s="1"/>
  <c r="AQ37" i="1"/>
  <c r="BA37" i="1"/>
  <c r="AR37" i="1"/>
  <c r="AS37" i="1"/>
  <c r="CN35" i="1"/>
  <c r="CQ35" i="1" s="1"/>
  <c r="BZ33" i="1"/>
  <c r="CC33" i="1" s="1"/>
  <c r="AQ35" i="1"/>
  <c r="AX40" i="1"/>
  <c r="BC40" i="1"/>
  <c r="AS40" i="1"/>
  <c r="AS39" i="1"/>
  <c r="BA39" i="1"/>
  <c r="AQ39" i="1"/>
  <c r="AR39" i="1"/>
  <c r="AK39" i="1"/>
  <c r="AZ39" i="1"/>
  <c r="BE39" i="1"/>
  <c r="BC37" i="1"/>
  <c r="AX37" i="1"/>
  <c r="BC35" i="1"/>
  <c r="AX35" i="1"/>
  <c r="Z35" i="1" s="1"/>
  <c r="AL29" i="1"/>
  <c r="AW29" i="1"/>
  <c r="Z29" i="1" s="1"/>
  <c r="DW28" i="1"/>
  <c r="DS28" i="1"/>
  <c r="DQ28" i="1" s="1"/>
  <c r="DS30" i="1"/>
  <c r="DT31" i="1"/>
  <c r="DS32" i="1"/>
  <c r="DS33" i="1"/>
  <c r="EC33" i="1"/>
  <c r="DY34" i="1"/>
  <c r="DT35" i="1"/>
  <c r="EC35" i="1"/>
  <c r="DR30" i="1"/>
  <c r="DW30" i="1"/>
  <c r="DT26" i="1"/>
  <c r="AZ41" i="1"/>
  <c r="BE41" i="1"/>
  <c r="BE40" i="1"/>
  <c r="AV40" i="1"/>
  <c r="BC23" i="1"/>
  <c r="AX23" i="1"/>
  <c r="BD40" i="1"/>
  <c r="EC29" i="1"/>
  <c r="BA32" i="1"/>
  <c r="AA32" i="1" s="1"/>
  <c r="BA30" i="1"/>
  <c r="AA30" i="1" s="1"/>
  <c r="BA28" i="1"/>
  <c r="AA28" i="1" s="1"/>
  <c r="BB26" i="1"/>
  <c r="BB23" i="1"/>
  <c r="BA23" i="1"/>
  <c r="DP29" i="1"/>
  <c r="Z36" i="1" l="1"/>
  <c r="BF36" i="1" s="1"/>
  <c r="BV30" i="1" s="1"/>
  <c r="Z31" i="1"/>
  <c r="BN31" i="1" s="1"/>
  <c r="AA27" i="1"/>
  <c r="BG27" i="1" s="1"/>
  <c r="DP39" i="1"/>
  <c r="DP22" i="1"/>
  <c r="DQ25" i="1"/>
  <c r="DP28" i="1"/>
  <c r="BR36" i="1"/>
  <c r="DP27" i="1"/>
  <c r="DQ36" i="1"/>
  <c r="DQ27" i="1"/>
  <c r="DQ34" i="1"/>
  <c r="DQ39" i="1"/>
  <c r="AP34" i="1"/>
  <c r="Z23" i="1"/>
  <c r="BH23" i="1" s="1"/>
  <c r="AJ23" i="1"/>
  <c r="CF23" i="1" s="1"/>
  <c r="H4" i="7" s="1"/>
  <c r="AJ34" i="1"/>
  <c r="AP33" i="1"/>
  <c r="Z32" i="1"/>
  <c r="BN32" i="1" s="1"/>
  <c r="CB33" i="1"/>
  <c r="AA31" i="1"/>
  <c r="BI31" i="1" s="1"/>
  <c r="Z30" i="1"/>
  <c r="BF30" i="1" s="1"/>
  <c r="BT30" i="1" s="1"/>
  <c r="AJ29" i="1"/>
  <c r="Z28" i="1"/>
  <c r="BN28" i="1" s="1"/>
  <c r="Z27" i="1"/>
  <c r="BQ27" i="1" s="1"/>
  <c r="AA23" i="1"/>
  <c r="BI23" i="1" s="1"/>
  <c r="DP23" i="1"/>
  <c r="DQ31" i="1"/>
  <c r="DP34" i="1"/>
  <c r="DP36" i="1"/>
  <c r="DQ32" i="1"/>
  <c r="DQ30" i="1"/>
  <c r="DQ33" i="1"/>
  <c r="DP30" i="1"/>
  <c r="DQ24" i="1"/>
  <c r="DQ35" i="1"/>
  <c r="DQ23" i="1"/>
  <c r="DQ37" i="1"/>
  <c r="DQ22" i="1"/>
  <c r="AA35" i="1"/>
  <c r="BG35" i="1" s="1"/>
  <c r="BZ29" i="1" s="1"/>
  <c r="Z34" i="1"/>
  <c r="BF34" i="1" s="1"/>
  <c r="AP32" i="1"/>
  <c r="AJ31" i="1"/>
  <c r="AP29" i="1"/>
  <c r="AJ28" i="1"/>
  <c r="AP28" i="1"/>
  <c r="AJ26" i="1"/>
  <c r="CU26" i="1" s="1"/>
  <c r="U6" i="7" s="1"/>
  <c r="AA25" i="1"/>
  <c r="BI26" i="1" s="1"/>
  <c r="BF26" i="1"/>
  <c r="CL26" i="1" s="1"/>
  <c r="CQ26" i="1" s="1"/>
  <c r="O6" i="7" s="1"/>
  <c r="AJ27" i="1"/>
  <c r="AP23" i="1"/>
  <c r="CT23" i="1" s="1"/>
  <c r="S4" i="7" s="1"/>
  <c r="DP33" i="1"/>
  <c r="DP25" i="1"/>
  <c r="DP26" i="1"/>
  <c r="DP31" i="1"/>
  <c r="DP24" i="1"/>
  <c r="DP37" i="1"/>
  <c r="BQ37" i="1"/>
  <c r="BI34" i="1"/>
  <c r="BO34" i="1"/>
  <c r="BH33" i="1"/>
  <c r="BI33" i="1"/>
  <c r="BG32" i="1"/>
  <c r="BI32" i="1"/>
  <c r="BO32" i="1"/>
  <c r="AP31" i="1"/>
  <c r="BH31" i="1"/>
  <c r="BI30" i="1"/>
  <c r="BG30" i="1"/>
  <c r="BO30" i="1"/>
  <c r="BH29" i="1"/>
  <c r="BI29" i="1"/>
  <c r="BI28" i="1"/>
  <c r="BO28" i="1"/>
  <c r="BG28" i="1"/>
  <c r="BX28" i="1" s="1"/>
  <c r="AP27" i="1"/>
  <c r="CS26" i="1"/>
  <c r="R6" i="7" s="1"/>
  <c r="CD26" i="1"/>
  <c r="E6" i="7" s="1"/>
  <c r="BN26" i="1"/>
  <c r="BG37" i="1"/>
  <c r="BZ27" i="1" s="1"/>
  <c r="BP37" i="1"/>
  <c r="CG26" i="1"/>
  <c r="J6" i="7" s="1"/>
  <c r="CT26" i="1"/>
  <c r="S6" i="7" s="1"/>
  <c r="BF31" i="1"/>
  <c r="BG33" i="1"/>
  <c r="BO33" i="1"/>
  <c r="BQ33" i="1"/>
  <c r="CV41" i="1"/>
  <c r="CN34" i="1"/>
  <c r="CJ34" i="1"/>
  <c r="CT34" i="1"/>
  <c r="CU34" i="1"/>
  <c r="CN29" i="1"/>
  <c r="CR34" i="1"/>
  <c r="BO27" i="1"/>
  <c r="BF40" i="1"/>
  <c r="BW27" i="1" s="1"/>
  <c r="BP40" i="1"/>
  <c r="BG36" i="1"/>
  <c r="BZ30" i="1" s="1"/>
  <c r="BG29" i="1"/>
  <c r="BO29" i="1"/>
  <c r="BQ29" i="1"/>
  <c r="BY27" i="1"/>
  <c r="CI30" i="1"/>
  <c r="BG39" i="1"/>
  <c r="CA30" i="1" s="1"/>
  <c r="BQ39" i="1"/>
  <c r="BP39" i="1"/>
  <c r="CC34" i="1"/>
  <c r="F42" i="1"/>
  <c r="BR42" i="1" s="1"/>
  <c r="BR35" i="1"/>
  <c r="CS33" i="1"/>
  <c r="CN32" i="1"/>
  <c r="CV39" i="1"/>
  <c r="CJ32" i="1"/>
  <c r="CO30" i="1"/>
  <c r="B16" i="7"/>
  <c r="A15" i="7"/>
  <c r="BF33" i="1"/>
  <c r="BP33" i="1"/>
  <c r="BN33" i="1"/>
  <c r="BF38" i="1"/>
  <c r="BP38" i="1"/>
  <c r="BF29" i="1"/>
  <c r="BP29" i="1"/>
  <c r="BN29" i="1"/>
  <c r="BG38" i="1"/>
  <c r="BQ38" i="1"/>
  <c r="BG40" i="1"/>
  <c r="CA27" i="1" s="1"/>
  <c r="BQ40" i="1"/>
  <c r="CB34" i="1"/>
  <c r="CF26" i="1"/>
  <c r="H6" i="7" s="1"/>
  <c r="CV40" i="1"/>
  <c r="CJ33" i="1"/>
  <c r="CN33" i="1"/>
  <c r="M42" i="1"/>
  <c r="CW42" i="1" s="1"/>
  <c r="CW38" i="1"/>
  <c r="M41" i="1"/>
  <c r="CW41" i="1" s="1"/>
  <c r="CW37" i="1"/>
  <c r="CD23" i="1"/>
  <c r="E4" i="7" s="1"/>
  <c r="BF23" i="1"/>
  <c r="CL23" i="1" s="1"/>
  <c r="CQ23" i="1" s="1"/>
  <c r="I18" i="1"/>
  <c r="AA1" i="1" s="1"/>
  <c r="BI27" i="1" l="1"/>
  <c r="BP36" i="1"/>
  <c r="BQ36" i="1"/>
  <c r="BP35" i="1"/>
  <c r="BQ31" i="1"/>
  <c r="CE28" i="1" s="1"/>
  <c r="G11" i="7" s="1"/>
  <c r="CE23" i="1"/>
  <c r="BP32" i="1"/>
  <c r="BO31" i="1"/>
  <c r="BG31" i="1"/>
  <c r="BY28" i="1" s="1"/>
  <c r="CC28" i="1" s="1"/>
  <c r="D11" i="7" s="1"/>
  <c r="BP31" i="1"/>
  <c r="BP27" i="1"/>
  <c r="O18" i="1"/>
  <c r="BN23" i="1"/>
  <c r="S18" i="1"/>
  <c r="CS23" i="1"/>
  <c r="R4" i="7" s="1"/>
  <c r="CU23" i="1"/>
  <c r="U4" i="7" s="1"/>
  <c r="BG23" i="1"/>
  <c r="BK23" i="1" s="1"/>
  <c r="AC23" i="1" s="1"/>
  <c r="CR23" i="1"/>
  <c r="BP23" i="1"/>
  <c r="BH27" i="1"/>
  <c r="BN34" i="1"/>
  <c r="BH32" i="1"/>
  <c r="BQ32" i="1"/>
  <c r="BF32" i="1"/>
  <c r="CM28" i="1" s="1"/>
  <c r="CL30" i="1"/>
  <c r="BQ30" i="1"/>
  <c r="BN30" i="1"/>
  <c r="BH30" i="1"/>
  <c r="BP30" i="1"/>
  <c r="BQ28" i="1"/>
  <c r="BH28" i="1"/>
  <c r="BP28" i="1"/>
  <c r="BF28" i="1"/>
  <c r="BT28" i="1" s="1"/>
  <c r="BN27" i="1"/>
  <c r="BF27" i="1"/>
  <c r="BJ27" i="1" s="1"/>
  <c r="BQ23" i="1"/>
  <c r="BO23" i="1"/>
  <c r="BH34" i="1"/>
  <c r="CM30" i="1"/>
  <c r="BU27" i="1"/>
  <c r="BP34" i="1"/>
  <c r="CD27" i="1" s="1"/>
  <c r="E10" i="7" s="1"/>
  <c r="BQ34" i="1"/>
  <c r="CE27" i="1" s="1"/>
  <c r="G10" i="7" s="1"/>
  <c r="BT26" i="1"/>
  <c r="CB26" i="1" s="1"/>
  <c r="C6" i="7" s="1"/>
  <c r="CR26" i="1"/>
  <c r="P6" i="7" s="1"/>
  <c r="BP26" i="1"/>
  <c r="BG26" i="1"/>
  <c r="BX26" i="1" s="1"/>
  <c r="CC26" i="1" s="1"/>
  <c r="D6" i="7" s="1"/>
  <c r="CE26" i="1"/>
  <c r="G6" i="7" s="1"/>
  <c r="BQ26" i="1"/>
  <c r="BO26" i="1"/>
  <c r="CG23" i="1"/>
  <c r="J4" i="7" s="1"/>
  <c r="CH28" i="1"/>
  <c r="CR29" i="1"/>
  <c r="P12" i="7" s="1"/>
  <c r="CJ29" i="1"/>
  <c r="BQ35" i="1"/>
  <c r="BF35" i="1"/>
  <c r="BV29" i="1" s="1"/>
  <c r="CN28" i="1"/>
  <c r="CJ28" i="1"/>
  <c r="CJ27" i="1"/>
  <c r="CN27" i="1"/>
  <c r="BY29" i="1"/>
  <c r="CI28" i="1"/>
  <c r="CH30" i="1"/>
  <c r="BX30" i="1"/>
  <c r="BT23" i="1"/>
  <c r="CB23" i="1" s="1"/>
  <c r="C4" i="7" s="1"/>
  <c r="BJ26" i="1"/>
  <c r="AB25" i="1" s="1"/>
  <c r="BJ23" i="1"/>
  <c r="AB23" i="1" s="1"/>
  <c r="BL23" i="1"/>
  <c r="BL26" i="1" s="1"/>
  <c r="CS29" i="1"/>
  <c r="R12" i="7" s="1"/>
  <c r="CK27" i="1"/>
  <c r="CO32" i="1"/>
  <c r="CQ32" i="1" s="1"/>
  <c r="CO27" i="1"/>
  <c r="CK32" i="1"/>
  <c r="CP32" i="1" s="1"/>
  <c r="CU32" i="1"/>
  <c r="CS32" i="1"/>
  <c r="CO28" i="1"/>
  <c r="CO33" i="1"/>
  <c r="CK28" i="1"/>
  <c r="CK33" i="1"/>
  <c r="CP33" i="1" s="1"/>
  <c r="CR33" i="1"/>
  <c r="CU33" i="1"/>
  <c r="CN30" i="1"/>
  <c r="BV28" i="1"/>
  <c r="CT32" i="1"/>
  <c r="BX27" i="1"/>
  <c r="CC27" i="1" s="1"/>
  <c r="D10" i="7" s="1"/>
  <c r="CH27" i="1"/>
  <c r="CK34" i="1"/>
  <c r="CP34" i="1" s="1"/>
  <c r="CO29" i="1"/>
  <c r="O16" i="7"/>
  <c r="CO34" i="1"/>
  <c r="CK29" i="1"/>
  <c r="N16" i="7"/>
  <c r="S16" i="7"/>
  <c r="T16" i="7" s="1"/>
  <c r="R16" i="7"/>
  <c r="P16" i="7"/>
  <c r="Q16" i="7" s="1"/>
  <c r="L16" i="7"/>
  <c r="U16" i="7"/>
  <c r="CS34" i="1"/>
  <c r="BU30" i="1"/>
  <c r="CB30" i="1" s="1"/>
  <c r="C13" i="7" s="1"/>
  <c r="CM29" i="1"/>
  <c r="BZ28" i="1"/>
  <c r="CJ30" i="1"/>
  <c r="BT29" i="1"/>
  <c r="CL29" i="1"/>
  <c r="BY30" i="1"/>
  <c r="CI29" i="1"/>
  <c r="BU28" i="1"/>
  <c r="CM27" i="1"/>
  <c r="CQ33" i="1"/>
  <c r="CR32" i="1"/>
  <c r="CT33" i="1"/>
  <c r="CH29" i="1"/>
  <c r="BX29" i="1"/>
  <c r="CQ34" i="1"/>
  <c r="O4" i="7"/>
  <c r="CH23" i="1"/>
  <c r="CP23" i="1" s="1"/>
  <c r="G4" i="7"/>
  <c r="P4" i="7"/>
  <c r="CD29" i="1" l="1"/>
  <c r="E12" i="7" s="1"/>
  <c r="CE30" i="1"/>
  <c r="G13" i="7" s="1"/>
  <c r="CS27" i="1"/>
  <c r="R10" i="7" s="1"/>
  <c r="CS28" i="1"/>
  <c r="R11" i="7" s="1"/>
  <c r="CR27" i="1"/>
  <c r="P10" i="7" s="1"/>
  <c r="CR28" i="1"/>
  <c r="P11" i="7" s="1"/>
  <c r="BM23" i="1"/>
  <c r="BK42" i="1"/>
  <c r="BK27" i="1"/>
  <c r="CL28" i="1"/>
  <c r="BU29" i="1"/>
  <c r="BK32" i="1"/>
  <c r="AC32" i="1" s="1"/>
  <c r="CI27" i="1"/>
  <c r="BG43" i="1"/>
  <c r="CC30" i="1"/>
  <c r="D13" i="7" s="1"/>
  <c r="B13" i="7" s="1"/>
  <c r="BJ31" i="1"/>
  <c r="AB31" i="1" s="1"/>
  <c r="AC27" i="1"/>
  <c r="AB27" i="1"/>
  <c r="BL27" i="1"/>
  <c r="BL28" i="1" s="1"/>
  <c r="BL29" i="1" s="1"/>
  <c r="BL30" i="1" s="1"/>
  <c r="BL31" i="1" s="1"/>
  <c r="BL32" i="1" s="1"/>
  <c r="BL33" i="1" s="1"/>
  <c r="BL34" i="1" s="1"/>
  <c r="BL35" i="1" s="1"/>
  <c r="BL36" i="1" s="1"/>
  <c r="BL37" i="1" s="1"/>
  <c r="BL38" i="1" s="1"/>
  <c r="BL39" i="1" s="1"/>
  <c r="BL40" i="1" s="1"/>
  <c r="BL41" i="1" s="1"/>
  <c r="BL42" i="1" s="1"/>
  <c r="BK37" i="1"/>
  <c r="BM26" i="1"/>
  <c r="BM27" i="1" s="1"/>
  <c r="BM28" i="1" s="1"/>
  <c r="BM29" i="1" s="1"/>
  <c r="BM30" i="1" s="1"/>
  <c r="BM31" i="1" s="1"/>
  <c r="BM32" i="1" s="1"/>
  <c r="BM33" i="1" s="1"/>
  <c r="BM34" i="1" s="1"/>
  <c r="BM35" i="1" s="1"/>
  <c r="BM36" i="1" s="1"/>
  <c r="BM37" i="1" s="1"/>
  <c r="BM38" i="1" s="1"/>
  <c r="BM39" i="1" s="1"/>
  <c r="BM40" i="1" s="1"/>
  <c r="BM41" i="1" s="1"/>
  <c r="BM42" i="1" s="1"/>
  <c r="BK26" i="1"/>
  <c r="AC25" i="1" s="1"/>
  <c r="C26" i="1" s="1"/>
  <c r="B26" i="1" s="1"/>
  <c r="BX23" i="1"/>
  <c r="CC23" i="1" s="1"/>
  <c r="D4" i="7" s="1"/>
  <c r="BK41" i="1"/>
  <c r="BK40" i="1"/>
  <c r="BJ34" i="1"/>
  <c r="AB34" i="1" s="1"/>
  <c r="CB28" i="1"/>
  <c r="C11" i="7" s="1"/>
  <c r="CQ28" i="1"/>
  <c r="O11" i="7" s="1"/>
  <c r="CE29" i="1"/>
  <c r="G12" i="7" s="1"/>
  <c r="BJ42" i="1"/>
  <c r="CS30" i="1"/>
  <c r="R13" i="7" s="1"/>
  <c r="CD30" i="1"/>
  <c r="E13" i="7" s="1"/>
  <c r="CD28" i="1"/>
  <c r="E11" i="7" s="1"/>
  <c r="BJ28" i="1"/>
  <c r="AB28" i="1" s="1"/>
  <c r="CL27" i="1"/>
  <c r="CQ27" i="1" s="1"/>
  <c r="BJ35" i="1"/>
  <c r="BJ39" i="1"/>
  <c r="BJ33" i="1"/>
  <c r="AB33" i="1" s="1"/>
  <c r="BF43" i="1"/>
  <c r="BT27" i="1"/>
  <c r="CB27" i="1" s="1"/>
  <c r="C10" i="7" s="1"/>
  <c r="B10" i="7" s="1"/>
  <c r="BJ38" i="1"/>
  <c r="BJ29" i="1"/>
  <c r="AB29" i="1" s="1"/>
  <c r="BJ30" i="1"/>
  <c r="AB30" i="1" s="1"/>
  <c r="BJ37" i="1"/>
  <c r="BO38" i="1" s="1"/>
  <c r="BJ32" i="1"/>
  <c r="AB32" i="1" s="1"/>
  <c r="BK28" i="1"/>
  <c r="AC28" i="1" s="1"/>
  <c r="BK29" i="1"/>
  <c r="AC29" i="1" s="1"/>
  <c r="BK38" i="1"/>
  <c r="BK36" i="1"/>
  <c r="BK31" i="1"/>
  <c r="AC31" i="1" s="1"/>
  <c r="B6" i="7"/>
  <c r="BK35" i="1"/>
  <c r="AN36" i="1" s="1"/>
  <c r="BK30" i="1"/>
  <c r="AC30" i="1" s="1"/>
  <c r="BK39" i="1"/>
  <c r="BK33" i="1"/>
  <c r="AC33" i="1" s="1"/>
  <c r="CR30" i="1"/>
  <c r="P13" i="7" s="1"/>
  <c r="CQ30" i="1"/>
  <c r="O13" i="7" s="1"/>
  <c r="CQ29" i="1"/>
  <c r="O12" i="7" s="1"/>
  <c r="BK34" i="1"/>
  <c r="CH26" i="1"/>
  <c r="CP26" i="1" s="1"/>
  <c r="N6" i="7" s="1"/>
  <c r="M6" i="7" s="1"/>
  <c r="CP28" i="1"/>
  <c r="N11" i="7" s="1"/>
  <c r="C23" i="1"/>
  <c r="B23" i="1" s="1"/>
  <c r="A23" i="1" s="1"/>
  <c r="CC29" i="1"/>
  <c r="D12" i="7" s="1"/>
  <c r="BJ36" i="1"/>
  <c r="BJ41" i="1"/>
  <c r="CB29" i="1"/>
  <c r="C12" i="7" s="1"/>
  <c r="BJ40" i="1"/>
  <c r="CP30" i="1"/>
  <c r="N13" i="7" s="1"/>
  <c r="CP27" i="1"/>
  <c r="N10" i="7" s="1"/>
  <c r="CP29" i="1"/>
  <c r="N12" i="7" s="1"/>
  <c r="B11" i="7"/>
  <c r="M16" i="7"/>
  <c r="L15" i="7"/>
  <c r="N4" i="7"/>
  <c r="CS37" i="1" l="1"/>
  <c r="G18" i="7"/>
  <c r="P18" i="7"/>
  <c r="C27" i="1"/>
  <c r="C32" i="1"/>
  <c r="M11" i="7"/>
  <c r="AO41" i="1"/>
  <c r="C31" i="1"/>
  <c r="CD37" i="1"/>
  <c r="C30" i="1"/>
  <c r="BH42" i="1"/>
  <c r="BI35" i="1"/>
  <c r="CE37" i="1"/>
  <c r="C28" i="1"/>
  <c r="B28" i="1" s="1"/>
  <c r="A28" i="1" s="1"/>
  <c r="A26" i="1"/>
  <c r="DD26" i="1" s="1"/>
  <c r="G13" i="8" s="1"/>
  <c r="AT38" i="1"/>
  <c r="B12" i="7"/>
  <c r="CC37" i="1"/>
  <c r="AC34" i="1"/>
  <c r="C34" i="1" s="1"/>
  <c r="R18" i="7"/>
  <c r="M12" i="7"/>
  <c r="BO40" i="1"/>
  <c r="AN40" i="1"/>
  <c r="AT35" i="1"/>
  <c r="E18" i="7"/>
  <c r="CR37" i="1"/>
  <c r="C33" i="1"/>
  <c r="BH38" i="1"/>
  <c r="BN40" i="1"/>
  <c r="AN35" i="1"/>
  <c r="BN35" i="1"/>
  <c r="BI39" i="1"/>
  <c r="AU36" i="1"/>
  <c r="C29" i="1"/>
  <c r="AO40" i="1"/>
  <c r="AU38" i="1"/>
  <c r="AP38" i="1" s="1"/>
  <c r="AN38" i="1"/>
  <c r="BH40" i="1"/>
  <c r="AU39" i="1"/>
  <c r="BI36" i="1"/>
  <c r="BO36" i="1"/>
  <c r="BN38" i="1"/>
  <c r="AO38" i="1"/>
  <c r="BI38" i="1"/>
  <c r="AC38" i="1" s="1"/>
  <c r="BO35" i="1"/>
  <c r="AO36" i="1"/>
  <c r="AO35" i="1"/>
  <c r="BN36" i="1"/>
  <c r="AO39" i="1"/>
  <c r="BN39" i="1"/>
  <c r="AU35" i="1"/>
  <c r="AT39" i="1"/>
  <c r="BH36" i="1"/>
  <c r="BH39" i="1"/>
  <c r="BI40" i="1"/>
  <c r="BI37" i="1"/>
  <c r="AN39" i="1"/>
  <c r="AJ39" i="1" s="1"/>
  <c r="BO39" i="1"/>
  <c r="AT36" i="1"/>
  <c r="AU40" i="1"/>
  <c r="AT40" i="1"/>
  <c r="B29" i="1"/>
  <c r="A29" i="1" s="1"/>
  <c r="AO42" i="1"/>
  <c r="M13" i="7"/>
  <c r="AT42" i="1"/>
  <c r="D18" i="7"/>
  <c r="AO37" i="1"/>
  <c r="AU37" i="1"/>
  <c r="BH35" i="1"/>
  <c r="BO37" i="1"/>
  <c r="AT37" i="1"/>
  <c r="BH41" i="1"/>
  <c r="BO41" i="1"/>
  <c r="AN41" i="1"/>
  <c r="BH37" i="1"/>
  <c r="BN41" i="1"/>
  <c r="AU41" i="1"/>
  <c r="AT41" i="1"/>
  <c r="BI41" i="1"/>
  <c r="AN37" i="1"/>
  <c r="BN37" i="1"/>
  <c r="B27" i="1"/>
  <c r="A27" i="1" s="1"/>
  <c r="CB37" i="1"/>
  <c r="AU42" i="1"/>
  <c r="BO42" i="1"/>
  <c r="C18" i="7"/>
  <c r="BI42" i="1"/>
  <c r="AB42" i="1" s="1"/>
  <c r="AN42" i="1"/>
  <c r="BN42" i="1"/>
  <c r="CP37" i="1"/>
  <c r="O10" i="7"/>
  <c r="O18" i="7" s="1"/>
  <c r="CQ37" i="1"/>
  <c r="CX23" i="1"/>
  <c r="A7" i="8" s="1"/>
  <c r="CZ26" i="1"/>
  <c r="H11" i="8" s="1"/>
  <c r="DE23" i="1"/>
  <c r="H9" i="8" s="1"/>
  <c r="DA23" i="1"/>
  <c r="D9" i="8" s="1"/>
  <c r="CX26" i="1"/>
  <c r="A11" i="8" s="1"/>
  <c r="DD23" i="1"/>
  <c r="G9" i="8" s="1"/>
  <c r="DB26" i="1"/>
  <c r="E13" i="8" s="1"/>
  <c r="DF23" i="1"/>
  <c r="I9" i="8" s="1"/>
  <c r="CZ23" i="1"/>
  <c r="H7" i="8" s="1"/>
  <c r="DC26" i="1"/>
  <c r="F13" i="8" s="1"/>
  <c r="DH23" i="1"/>
  <c r="K9" i="8" s="1"/>
  <c r="DC23" i="1"/>
  <c r="F9" i="8" s="1"/>
  <c r="DA26" i="1"/>
  <c r="D13" i="8" s="1"/>
  <c r="DB23" i="1"/>
  <c r="E9" i="8" s="1"/>
  <c r="N18" i="7"/>
  <c r="M4" i="7"/>
  <c r="AP36" i="1"/>
  <c r="AJ36" i="1"/>
  <c r="B4" i="7"/>
  <c r="DF26" i="1" l="1"/>
  <c r="I13" i="8" s="1"/>
  <c r="DE26" i="1"/>
  <c r="H13" i="8" s="1"/>
  <c r="DH26" i="1"/>
  <c r="K13" i="8" s="1"/>
  <c r="AJ41" i="1"/>
  <c r="AC37" i="1"/>
  <c r="AJ42" i="1"/>
  <c r="AC35" i="1"/>
  <c r="B31" i="1"/>
  <c r="A31" i="1" s="1"/>
  <c r="B30" i="1"/>
  <c r="A30" i="1" s="1"/>
  <c r="AJ35" i="1"/>
  <c r="CF29" i="1" s="1"/>
  <c r="H12" i="7" s="1"/>
  <c r="AB38" i="1"/>
  <c r="C38" i="1" s="1"/>
  <c r="AP35" i="1"/>
  <c r="AJ40" i="1"/>
  <c r="CU28" i="1" s="1"/>
  <c r="U11" i="7" s="1"/>
  <c r="AC36" i="1"/>
  <c r="AJ38" i="1"/>
  <c r="AB36" i="1"/>
  <c r="AJ37" i="1"/>
  <c r="AC39" i="1"/>
  <c r="AC40" i="1"/>
  <c r="B33" i="1"/>
  <c r="A33" i="1" s="1"/>
  <c r="B34" i="1"/>
  <c r="A34" i="1" s="1"/>
  <c r="AB39" i="1"/>
  <c r="C39" i="1" s="1"/>
  <c r="AB35" i="1"/>
  <c r="C35" i="1" s="1"/>
  <c r="B35" i="1" s="1"/>
  <c r="A35" i="1" s="1"/>
  <c r="B32" i="1"/>
  <c r="A32" i="1" s="1"/>
  <c r="AP40" i="1"/>
  <c r="CT28" i="1" s="1"/>
  <c r="S11" i="7" s="1"/>
  <c r="AP39" i="1"/>
  <c r="CG30" i="1" s="1"/>
  <c r="J13" i="7" s="1"/>
  <c r="AB40" i="1"/>
  <c r="C40" i="1" s="1"/>
  <c r="BO43" i="1"/>
  <c r="P18" i="1" s="1"/>
  <c r="AP42" i="1"/>
  <c r="AP41" i="1"/>
  <c r="CG28" i="1" s="1"/>
  <c r="J11" i="7" s="1"/>
  <c r="BH43" i="1"/>
  <c r="H18" i="1" s="1"/>
  <c r="X1" i="1" s="1"/>
  <c r="AP37" i="1"/>
  <c r="AB41" i="1"/>
  <c r="AC41" i="1"/>
  <c r="AB37" i="1"/>
  <c r="BN43" i="1"/>
  <c r="M18" i="1" s="1"/>
  <c r="BI43" i="1"/>
  <c r="J18" i="1" s="1"/>
  <c r="AB1" i="1" s="1"/>
  <c r="H6" i="8" s="1"/>
  <c r="AC42" i="1"/>
  <c r="C42" i="1" s="1"/>
  <c r="M10" i="7"/>
  <c r="CF30" i="1"/>
  <c r="H13" i="7" s="1"/>
  <c r="CU27" i="1" l="1"/>
  <c r="U10" i="7" s="1"/>
  <c r="C37" i="1"/>
  <c r="CU29" i="1"/>
  <c r="U12" i="7" s="1"/>
  <c r="CF28" i="1"/>
  <c r="H11" i="7" s="1"/>
  <c r="C36" i="1"/>
  <c r="CF27" i="1"/>
  <c r="H10" i="7" s="1"/>
  <c r="CT27" i="1"/>
  <c r="S10" i="7" s="1"/>
  <c r="CG29" i="1"/>
  <c r="J12" i="7" s="1"/>
  <c r="AJ43" i="1"/>
  <c r="R18" i="1" s="1"/>
  <c r="CU30" i="1"/>
  <c r="U13" i="7" s="1"/>
  <c r="CT30" i="1"/>
  <c r="S13" i="7" s="1"/>
  <c r="CT29" i="1"/>
  <c r="S12" i="7" s="1"/>
  <c r="AP43" i="1"/>
  <c r="T18" i="1" s="1"/>
  <c r="CG27" i="1"/>
  <c r="J10" i="7" s="1"/>
  <c r="C41" i="1"/>
  <c r="X18" i="1"/>
  <c r="DP4" i="1"/>
  <c r="AH2" i="1"/>
  <c r="A6" i="8"/>
  <c r="B40" i="1" l="1"/>
  <c r="A40" i="1" s="1"/>
  <c r="B37" i="1"/>
  <c r="A37" i="1" s="1"/>
  <c r="CF37" i="1"/>
  <c r="U18" i="7"/>
  <c r="H18" i="7"/>
  <c r="B41" i="1"/>
  <c r="A41" i="1" s="1"/>
  <c r="B39" i="1"/>
  <c r="A39" i="1" s="1"/>
  <c r="B38" i="1"/>
  <c r="A38" i="1" s="1"/>
  <c r="B36" i="1"/>
  <c r="A36" i="1" s="1"/>
  <c r="S18" i="7"/>
  <c r="CT37" i="1"/>
  <c r="J18" i="7"/>
  <c r="CU37" i="1"/>
  <c r="B42" i="1"/>
  <c r="A42" i="1" s="1"/>
  <c r="CG37" i="1"/>
</calcChain>
</file>

<file path=xl/sharedStrings.xml><?xml version="1.0" encoding="utf-8"?>
<sst xmlns="http://schemas.openxmlformats.org/spreadsheetml/2006/main" count="850" uniqueCount="614">
  <si>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</si>
  <si>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</si>
  <si>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</si>
  <si>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</si>
  <si>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</si>
  <si>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</si>
  <si>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</si>
  <si>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</si>
  <si>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</si>
  <si>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</si>
  <si>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</si>
  <si>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</si>
  <si>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</si>
  <si>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</si>
  <si>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</si>
  <si>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</si>
  <si>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</si>
  <si>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</si>
  <si>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Pořádající</t>
  </si>
  <si>
    <t>Hostující</t>
  </si>
  <si>
    <t>Datum</t>
  </si>
  <si>
    <t>Hráno v</t>
  </si>
  <si>
    <t>Celkový</t>
  </si>
  <si>
    <t>místnosti</t>
  </si>
  <si>
    <t>výsledek</t>
  </si>
  <si>
    <t>Licence:</t>
  </si>
  <si>
    <t>Vrchní</t>
  </si>
  <si>
    <t>rozhodčí</t>
  </si>
  <si>
    <t>Rozhodčí</t>
  </si>
  <si>
    <t>u stolu</t>
  </si>
  <si>
    <t>Body</t>
  </si>
  <si>
    <t>Začátek</t>
  </si>
  <si>
    <t>utkání</t>
  </si>
  <si>
    <t>Sady</t>
  </si>
  <si>
    <t>Míčky</t>
  </si>
  <si>
    <t>Vítěz</t>
  </si>
  <si>
    <t>Konec</t>
  </si>
  <si>
    <t>č</t>
  </si>
  <si>
    <t>Hráči pořádajícího oddílu</t>
  </si>
  <si>
    <t>Hráči hostujícího oddílu</t>
  </si>
  <si>
    <t>Výsledek hry</t>
  </si>
  <si>
    <t>Jednotlivé výsledky</t>
  </si>
  <si>
    <t xml:space="preserve"> - muži</t>
  </si>
  <si>
    <t xml:space="preserve"> - ženy</t>
  </si>
  <si>
    <t xml:space="preserve"> - dorostenci</t>
  </si>
  <si>
    <t xml:space="preserve"> - dorostenky</t>
  </si>
  <si>
    <t xml:space="preserve"> - žáci</t>
  </si>
  <si>
    <t xml:space="preserve"> - žákyně</t>
  </si>
  <si>
    <t>Česká asociace stolního tenisu</t>
  </si>
  <si>
    <t>ZÁPIS O UTKÁNÍ VE STOLNÍM TENISU</t>
  </si>
  <si>
    <t>Název soutěže:</t>
  </si>
  <si>
    <t>Připomínky vrchního rozhodčího :</t>
  </si>
  <si>
    <t>Při nedostatku místa uveďte další sdělení v příloze. Rovněž tak v případě připomínek či sdělení vedoucích družstev.</t>
  </si>
  <si>
    <t>Příloha tohoto zápisu vyhotovena</t>
  </si>
  <si>
    <t>ANO</t>
  </si>
  <si>
    <t>-</t>
  </si>
  <si>
    <t>NE</t>
  </si>
  <si>
    <t>Jméno a podpis vedoucího</t>
  </si>
  <si>
    <t>domácího družstva</t>
  </si>
  <si>
    <t>hostujícího družstva</t>
  </si>
  <si>
    <t>Podpis vrchního rozhodčího</t>
  </si>
  <si>
    <t>b</t>
  </si>
  <si>
    <t>s</t>
  </si>
  <si>
    <t>Zápis lze vyplňovat přímo v PC a tisknout po skončení utkání.</t>
  </si>
  <si>
    <t>Sety, body a míčky se počítají samy, stejně tak jako celkový výsledek.</t>
  </si>
  <si>
    <t>Vítěz utkání nebo "nerozhodně" se doplní samo po dosažení 10.bodu (nebo 9:9)</t>
  </si>
  <si>
    <t>Nezapomeňte si uložit před vyplňováním zápis po jiným názvem ( "Uložit jako" ) např. dle soupeře, předejdete tak nechtěnému přepisu staršího zápisu a předlohy.</t>
  </si>
  <si>
    <t>wo</t>
  </si>
  <si>
    <t>V</t>
  </si>
  <si>
    <t>P</t>
  </si>
  <si>
    <t>sety</t>
  </si>
  <si>
    <t>míčky</t>
  </si>
  <si>
    <t>:</t>
  </si>
  <si>
    <t>zápasy</t>
  </si>
  <si>
    <t>vítězství</t>
  </si>
  <si>
    <t>porážky</t>
  </si>
  <si>
    <t>celkem</t>
  </si>
  <si>
    <t>dvouhry</t>
  </si>
  <si>
    <t>čtyřhry</t>
  </si>
  <si>
    <t xml:space="preserve"> / </t>
  </si>
  <si>
    <t xml:space="preserve"> - </t>
  </si>
  <si>
    <t>Tento mustr lze také uložit jako šablonu (pro zkušenější uživatele) a tím zamezit nechtěnému přepisu.</t>
  </si>
  <si>
    <t>čt.</t>
  </si>
  <si>
    <t>-wo</t>
  </si>
  <si>
    <t>V listu "statistika" se zobrazí výsledky jednotlivých hráčů včetně střídajících</t>
  </si>
  <si>
    <t>DIVIZE</t>
  </si>
  <si>
    <t>domácí</t>
  </si>
  <si>
    <t>hosté</t>
  </si>
  <si>
    <t>Gabriel Roman</t>
  </si>
  <si>
    <t>Protiva Lukáš</t>
  </si>
  <si>
    <t>Kliment Vladimír</t>
  </si>
  <si>
    <t>Kabát Martin</t>
  </si>
  <si>
    <t>Soukup Zdeněk</t>
  </si>
  <si>
    <t>Šimek Adam</t>
  </si>
  <si>
    <t>Horák Libor</t>
  </si>
  <si>
    <t>Ludvík Roman</t>
  </si>
  <si>
    <t>Pangrác Jan</t>
  </si>
  <si>
    <t>Hromádko Pavel</t>
  </si>
  <si>
    <t>Baštář Ondřej</t>
  </si>
  <si>
    <t>Žižka Petr</t>
  </si>
  <si>
    <t>Fronk Pavel</t>
  </si>
  <si>
    <t>Kuneš Jaroslav st.</t>
  </si>
  <si>
    <t>Mazura Pavel</t>
  </si>
  <si>
    <t>Mazura David</t>
  </si>
  <si>
    <t>Hořan Marek</t>
  </si>
  <si>
    <t>Hořan Milan</t>
  </si>
  <si>
    <t>Čada Vladimír</t>
  </si>
  <si>
    <t>Rauner Václav</t>
  </si>
  <si>
    <t>Zábranský Hynek</t>
  </si>
  <si>
    <t>Mandák Pavel</t>
  </si>
  <si>
    <t>Křesák Vojtěch</t>
  </si>
  <si>
    <t>Aschenbrenner Jan</t>
  </si>
  <si>
    <t>Holý Pavel ml.</t>
  </si>
  <si>
    <t>Holeček Karel</t>
  </si>
  <si>
    <t>Vojáček Rudolf ml.</t>
  </si>
  <si>
    <t>Buriánek Jan</t>
  </si>
  <si>
    <t>Škrleta Luboš</t>
  </si>
  <si>
    <t>Súkeník Zdeněk</t>
  </si>
  <si>
    <t>Hulín Jiří</t>
  </si>
  <si>
    <t>Kollros Roman</t>
  </si>
  <si>
    <t>Havlíček Stanislav</t>
  </si>
  <si>
    <t>Panský Miroslav</t>
  </si>
  <si>
    <t>Reichert Tomáš</t>
  </si>
  <si>
    <t>Pergler Jakub</t>
  </si>
  <si>
    <t>Helus Jaroslav</t>
  </si>
  <si>
    <t>Kmoch Ladislav</t>
  </si>
  <si>
    <t>Vráblík Milan</t>
  </si>
  <si>
    <t>Bek Tomáš</t>
  </si>
  <si>
    <t>Kasal Jaromír</t>
  </si>
  <si>
    <t>Říšský Pavel</t>
  </si>
  <si>
    <t>Sedláček Jan st.</t>
  </si>
  <si>
    <t>Anetta Jan</t>
  </si>
  <si>
    <t>Boháč Jaroslav</t>
  </si>
  <si>
    <t>Stanček Ivo</t>
  </si>
  <si>
    <t>Stodola Jan</t>
  </si>
  <si>
    <t>Svoboda Josef</t>
  </si>
  <si>
    <t>Homolka Zdeněk</t>
  </si>
  <si>
    <t>Stanček Martin</t>
  </si>
  <si>
    <t xml:space="preserve">Napiš střídajícího hráče do řádku pod zápisem </t>
  </si>
  <si>
    <t>střídání domácí</t>
  </si>
  <si>
    <t>střídání hosté</t>
  </si>
  <si>
    <t>stav utkání</t>
  </si>
  <si>
    <t>Košek Michal</t>
  </si>
  <si>
    <t>Bacík Zdeněk</t>
  </si>
  <si>
    <t>Kotva Pavel</t>
  </si>
  <si>
    <t>Vaňous Martin</t>
  </si>
  <si>
    <t>Enžl Vlastimil</t>
  </si>
  <si>
    <t>Kovanda Jiří</t>
  </si>
  <si>
    <t>Kubovský Jiří</t>
  </si>
  <si>
    <t>Levora Karel</t>
  </si>
  <si>
    <t>Sýkora František</t>
  </si>
  <si>
    <t>Oroš Karel</t>
  </si>
  <si>
    <t>Hošťálek Milan</t>
  </si>
  <si>
    <t>Ulbrich Ondřej</t>
  </si>
  <si>
    <t>Rousek Petr</t>
  </si>
  <si>
    <t>Jerling Jaroslav</t>
  </si>
  <si>
    <t>Protiva Jan</t>
  </si>
  <si>
    <t>Valenta Miroslav</t>
  </si>
  <si>
    <t>Kotva David</t>
  </si>
  <si>
    <t>Hošťálek Josef</t>
  </si>
  <si>
    <t>Havránek Petr</t>
  </si>
  <si>
    <t>Čejka Petr</t>
  </si>
  <si>
    <t>Kotva Jan</t>
  </si>
  <si>
    <t>Krákora Tomáš</t>
  </si>
  <si>
    <t>Niedermayer Michal</t>
  </si>
  <si>
    <t>Kotva Petr</t>
  </si>
  <si>
    <t>Hájek Karel</t>
  </si>
  <si>
    <t>Bistřický Bohumír</t>
  </si>
  <si>
    <t>Setvín Michal</t>
  </si>
  <si>
    <t>Maier Zdeněk</t>
  </si>
  <si>
    <t>Protiva Pavel</t>
  </si>
  <si>
    <t>Krajská soutěž II. tř. sk.A</t>
  </si>
  <si>
    <t>Krajská soutěž II. tř. sk.B</t>
  </si>
  <si>
    <t>Javorský Daniel</t>
  </si>
  <si>
    <t>Plic Bohumil</t>
  </si>
  <si>
    <t>Čada Zdeněk</t>
  </si>
  <si>
    <t>Janda Pavel</t>
  </si>
  <si>
    <t>Šiška Petr</t>
  </si>
  <si>
    <t>Dienstbier Pavel</t>
  </si>
  <si>
    <t>Zahradník Lukáš</t>
  </si>
  <si>
    <t>Nový Jaroslav</t>
  </si>
  <si>
    <t>Nálevka Jaroslav</t>
  </si>
  <si>
    <t>Hruška Václav</t>
  </si>
  <si>
    <t>Švamberg Luboš</t>
  </si>
  <si>
    <t>Matějka Martin</t>
  </si>
  <si>
    <t>Hummel Jiří</t>
  </si>
  <si>
    <t>Dobrý Oldřich</t>
  </si>
  <si>
    <t>Minarčic Martin</t>
  </si>
  <si>
    <t>Špaček Jaroslav</t>
  </si>
  <si>
    <t>Nováček Karel</t>
  </si>
  <si>
    <t>Komorous Jaroslav</t>
  </si>
  <si>
    <t>Pešík Radek</t>
  </si>
  <si>
    <t>Javorský David</t>
  </si>
  <si>
    <t>Čada Jan</t>
  </si>
  <si>
    <t>Drofa Zdeněk</t>
  </si>
  <si>
    <t>Nedoma Lukáš</t>
  </si>
  <si>
    <t>Lze jej také vytisknout pro ruční vyplňování zápisu (vytiskne se prázdný formulář standardních rozměrů)</t>
  </si>
  <si>
    <t>Před vyplňěním si uložte zápis po jiným názvem ("Uložit jako") např. dle jména soupeře !!</t>
  </si>
  <si>
    <t>Utkání sehraná nad rámec 10. bodu nemažte, počítač je nezapočítá do celkového výsledku (i když jsou již dříve zapsaná a sehraná odečte body, sety i míčky)</t>
  </si>
  <si>
    <r>
      <t xml:space="preserve">"Kreče" </t>
    </r>
    <r>
      <rPr>
        <b/>
        <sz val="12"/>
        <rFont val="Arial CE"/>
        <charset val="238"/>
      </rPr>
      <t xml:space="preserve">se zapisují pouze do kolonky 1.setu, </t>
    </r>
    <r>
      <rPr>
        <b/>
        <sz val="12"/>
        <color indexed="10"/>
        <rFont val="Arial CE"/>
        <family val="2"/>
        <charset val="238"/>
      </rPr>
      <t>WO</t>
    </r>
    <r>
      <rPr>
        <b/>
        <sz val="12"/>
        <rFont val="Arial CE"/>
        <charset val="238"/>
      </rPr>
      <t xml:space="preserve"> je kreč hostů (bod pro domácí)</t>
    </r>
    <r>
      <rPr>
        <b/>
        <sz val="12"/>
        <color indexed="10"/>
        <rFont val="Arial CE"/>
        <family val="2"/>
        <charset val="238"/>
      </rPr>
      <t>, -WO</t>
    </r>
    <r>
      <rPr>
        <b/>
        <sz val="12"/>
        <rFont val="Arial CE"/>
        <charset val="238"/>
      </rPr>
      <t xml:space="preserve"> je kreč domácích (bod pro hosty), body, sety a míčky se započítají automaticky.</t>
    </r>
  </si>
  <si>
    <r>
      <t xml:space="preserve">Zapisují se pouze míčky v setu a to jako čísla: např: </t>
    </r>
    <r>
      <rPr>
        <b/>
        <sz val="12"/>
        <rFont val="Arial CE"/>
        <family val="2"/>
        <charset val="238"/>
      </rPr>
      <t>6</t>
    </r>
    <r>
      <rPr>
        <sz val="12"/>
        <rFont val="Arial CE"/>
        <family val="2"/>
        <charset val="238"/>
      </rPr>
      <t xml:space="preserve"> nebo </t>
    </r>
    <r>
      <rPr>
        <b/>
        <sz val="12"/>
        <rFont val="Arial CE"/>
        <family val="2"/>
        <charset val="238"/>
      </rPr>
      <t>-6</t>
    </r>
    <r>
      <rPr>
        <sz val="12"/>
        <rFont val="Arial CE"/>
        <family val="2"/>
        <charset val="238"/>
      </rPr>
      <t xml:space="preserve">. (set 11:0 pište jako </t>
    </r>
    <r>
      <rPr>
        <b/>
        <sz val="12"/>
        <rFont val="Arial CE"/>
        <family val="2"/>
        <charset val="238"/>
      </rPr>
      <t>0</t>
    </r>
    <r>
      <rPr>
        <sz val="12"/>
        <rFont val="Arial CE"/>
        <family val="2"/>
        <charset val="238"/>
      </rPr>
      <t xml:space="preserve">, </t>
    </r>
    <r>
      <rPr>
        <b/>
        <sz val="12"/>
        <color indexed="10"/>
        <rFont val="Arial CE"/>
        <charset val="238"/>
      </rPr>
      <t>set 0:11 pište jako -0</t>
    </r>
    <r>
      <rPr>
        <sz val="12"/>
        <rFont val="Arial CE"/>
        <family val="2"/>
        <charset val="238"/>
      </rPr>
      <t>). Modrá výplň označuje aktuálně hrané zápasy.</t>
    </r>
  </si>
  <si>
    <t>Výběry názvů soutěží, družstev a jmen hráčů jsou vázaná na správně vyplněný list "soupisky", není-li tento list správně vyplněn, nelze vyplnit zápis jejich vybráním. Také při ručním zapsání názvu soutěže se nezobrazí výběr názvů družstev, a následně výběr jmen hráčů.</t>
  </si>
  <si>
    <t>Při tisku se vytiskne pouze černobíle klasický zápis (horní šedá kolonka v zápisu je pouze informativní a nevytiskne se, netisknou se ani barevné výplně).</t>
  </si>
  <si>
    <t>Jehlík Miroslav</t>
  </si>
  <si>
    <t>Krivda František</t>
  </si>
  <si>
    <t>Císler Václav</t>
  </si>
  <si>
    <t>Dědíček Jaroslav</t>
  </si>
  <si>
    <t>Jankulík Martin</t>
  </si>
  <si>
    <t>Hlavatý Petr</t>
  </si>
  <si>
    <t>Tochor Jiří</t>
  </si>
  <si>
    <t>Růžek Václav</t>
  </si>
  <si>
    <t>Makoň Zdeněk ml.</t>
  </si>
  <si>
    <t>Vycudlík Jan</t>
  </si>
  <si>
    <t>Bistřický Marek</t>
  </si>
  <si>
    <t>Pavelek Radim</t>
  </si>
  <si>
    <t>Kalavský Marcel</t>
  </si>
  <si>
    <t>Altmann Pavel</t>
  </si>
  <si>
    <t>Tetěk Václav</t>
  </si>
  <si>
    <t>Hofman Petr</t>
  </si>
  <si>
    <t>Krajská soutěž I. třídy</t>
  </si>
  <si>
    <t>Hadrava Jaroslav ml.</t>
  </si>
  <si>
    <t>Učík Rudolf</t>
  </si>
  <si>
    <t>Barchanski Pavel</t>
  </si>
  <si>
    <t>Vachovec Milan</t>
  </si>
  <si>
    <t>Nechutný Petr st.</t>
  </si>
  <si>
    <t>Glazar František</t>
  </si>
  <si>
    <t>Veselý Jaroslav</t>
  </si>
  <si>
    <t>Hron Richard ml.</t>
  </si>
  <si>
    <t>Soukup Lukáš</t>
  </si>
  <si>
    <t>TJ Union Plzeň D</t>
  </si>
  <si>
    <t>Pastuch Jan</t>
  </si>
  <si>
    <t>Hadrava Libor</t>
  </si>
  <si>
    <t>Krejčí Antonín</t>
  </si>
  <si>
    <t>Sladký Antonín</t>
  </si>
  <si>
    <t>Haas Václav</t>
  </si>
  <si>
    <t>Vohradský Jiří</t>
  </si>
  <si>
    <t>Vohradský Marek</t>
  </si>
  <si>
    <t>Malík Roman</t>
  </si>
  <si>
    <t>Reiser Miroslav</t>
  </si>
  <si>
    <t>Chromek Miroslav</t>
  </si>
  <si>
    <t>Jung Milan</t>
  </si>
  <si>
    <t>Císař Martin</t>
  </si>
  <si>
    <t>Malý Josef</t>
  </si>
  <si>
    <t>Zušťák Petr</t>
  </si>
  <si>
    <t>Sazama Luboš</t>
  </si>
  <si>
    <t>Kohout Václav</t>
  </si>
  <si>
    <t>Bohdan Petr</t>
  </si>
  <si>
    <t>Haišman Jaroslav</t>
  </si>
  <si>
    <t>Dobiáš Jan</t>
  </si>
  <si>
    <t>Beneš Jaroslav</t>
  </si>
  <si>
    <t>Abramčuk Jiří</t>
  </si>
  <si>
    <t>Dolejš Pavel</t>
  </si>
  <si>
    <t>Hrubý Petr</t>
  </si>
  <si>
    <t>Vasilečko Michal</t>
  </si>
  <si>
    <t>Jehlík Jan</t>
  </si>
  <si>
    <t>Látka Jan</t>
  </si>
  <si>
    <t>Kubovec Karel</t>
  </si>
  <si>
    <t>Černý Ivan</t>
  </si>
  <si>
    <t>Obertík Milan ml.</t>
  </si>
  <si>
    <t>Korecký Filip</t>
  </si>
  <si>
    <t>Braun Josef</t>
  </si>
  <si>
    <t>Vaněk Zdeněk</t>
  </si>
  <si>
    <t>Brant František</t>
  </si>
  <si>
    <t>Čermák Michal</t>
  </si>
  <si>
    <t>Šimek David</t>
  </si>
  <si>
    <t>Roch Tomáš</t>
  </si>
  <si>
    <t>Račáková Michaela</t>
  </si>
  <si>
    <t>Kheil Lukáš</t>
  </si>
  <si>
    <t>Kolerus Martin</t>
  </si>
  <si>
    <t>Laubr Václav</t>
  </si>
  <si>
    <t>Komanec Pavel</t>
  </si>
  <si>
    <t>März Miloslav</t>
  </si>
  <si>
    <t>Fořt Petr</t>
  </si>
  <si>
    <t>Filip Michal</t>
  </si>
  <si>
    <t>Sochor Miroslav</t>
  </si>
  <si>
    <t>Tran Duc Martin Lam</t>
  </si>
  <si>
    <t>Šípek Josef</t>
  </si>
  <si>
    <t>Oplová Renáta</t>
  </si>
  <si>
    <t>Hoang Van Tony Tuan</t>
  </si>
  <si>
    <t>Stanček Anton</t>
  </si>
  <si>
    <t>Kozák Karel</t>
  </si>
  <si>
    <t>Benedikt Jiří</t>
  </si>
  <si>
    <t>Jehlíková Petra</t>
  </si>
  <si>
    <t>Sommer Patrik</t>
  </si>
  <si>
    <t>Wágner František</t>
  </si>
  <si>
    <t>Rolko Rudolf</t>
  </si>
  <si>
    <t>!! Již nemusíte vypisovat jména hráčů, názvy klubů ani soutěž, stačí jen vybrat v nabídce !!</t>
  </si>
  <si>
    <t>Pro střídání vyberte jméno střídajícího hráče v kolonce nad zápisem, při střídání vepište pouze S do sloupce vlevo od jména střídaného hráče. V zápisu se jméno přepíše automaticky !!</t>
  </si>
  <si>
    <t>Zápis se nachází v listu "Zápis-4hráči"</t>
  </si>
  <si>
    <t>Při vyplňování "vybíráním" soutěže se po kliknutí na buňku pro vypsání soutěže zobrazí šipka s rozbalovací "nabídkou" soutěží, po vybrání soutěže se v kolonkách družstev zobrazí rozbalovací nabídka všech družstev vybrané soutěže a po vybrání soupeřů se v kolonkách čtyřher a dvouher objeví nabídka  hráčů dle soupisky (kliknutím na správný název či jméno se automaticky kolonka vyplní)</t>
  </si>
  <si>
    <r>
      <t xml:space="preserve">List "Soupisky" je vyplněn pro všechny Krajské soutěže mužů Plzeňského kraje, soupisky jsou dle "STISu" a  jsou omezeny na 15 hráčů (v případě změn na soupiskách lze jména opravit v sešitě "Soupisky", v případě startu hráče, který je zařazen na soupisce 16. a níže ho lze vepsat do zápisu ručně). </t>
    </r>
    <r>
      <rPr>
        <b/>
        <i/>
        <sz val="10"/>
        <color indexed="10"/>
        <rFont val="Arial CE"/>
        <charset val="238"/>
      </rPr>
      <t>V případě špatného vyplnění se zobrazí výstraha, pro opravu stiskněte "storno" v okénku výstrahy.</t>
    </r>
  </si>
  <si>
    <r>
      <t xml:space="preserve">Formulář pro tisk zápisů mužů  </t>
    </r>
    <r>
      <rPr>
        <sz val="14"/>
        <rFont val="Arial CE"/>
        <family val="2"/>
        <charset val="238"/>
      </rPr>
      <t>(</t>
    </r>
    <r>
      <rPr>
        <b/>
        <sz val="14"/>
        <color indexed="10"/>
        <rFont val="Arial CE"/>
        <charset val="238"/>
      </rPr>
      <t>do deseti - domácí se "točí"</t>
    </r>
    <r>
      <rPr>
        <sz val="14"/>
        <rFont val="Arial CE"/>
        <family val="2"/>
        <charset val="238"/>
      </rPr>
      <t>)</t>
    </r>
  </si>
  <si>
    <t>V odpovídající kolonce nejdříve vyberte soutěž, poté  názvy soupeřících družstev, datum (zobrazí se aktuální datum), vyberte hráče pro čtyřhry a pro první dvouhry (V kolonce nad zápisem případně vyberte střídajícího hráče). Ve zbytku zápisu se jména doplní automaticky !!</t>
  </si>
  <si>
    <t>TJ Sokol Horažďovice A</t>
  </si>
  <si>
    <t>Dioss Nýřany A</t>
  </si>
  <si>
    <t>TJ Město Zbiroh A</t>
  </si>
  <si>
    <t>Houfek Jaroslav</t>
  </si>
  <si>
    <t>Tůma Zdeněk</t>
  </si>
  <si>
    <t>TJ Sokol Lhůta A</t>
  </si>
  <si>
    <t>TJ Sokol Horní Bělá A</t>
  </si>
  <si>
    <t>TJ Dobřany A</t>
  </si>
  <si>
    <t>Kuchař Jan</t>
  </si>
  <si>
    <t>Kolerus Jaroslav</t>
  </si>
  <si>
    <t>Auterský Václav</t>
  </si>
  <si>
    <t>SK Nevid A</t>
  </si>
  <si>
    <t>Pechman Petr</t>
  </si>
  <si>
    <t>Vladyka Jakub</t>
  </si>
  <si>
    <t>Hudec Vít</t>
  </si>
  <si>
    <t>Šebor Jan</t>
  </si>
  <si>
    <t>Klimeš Jakub</t>
  </si>
  <si>
    <t>Tomášů Martin</t>
  </si>
  <si>
    <t>Vyleta Michal ml.</t>
  </si>
  <si>
    <t>Mózer Dominik</t>
  </si>
  <si>
    <t>Ríha Petr</t>
  </si>
  <si>
    <t>Jánský Marek</t>
  </si>
  <si>
    <t>Závora Adam</t>
  </si>
  <si>
    <t>Šmolík Vojtěch</t>
  </si>
  <si>
    <t>Koutník Vojtěch</t>
  </si>
  <si>
    <t>Voříšek Jiří st.</t>
  </si>
  <si>
    <t>SK Rokycany A</t>
  </si>
  <si>
    <t>TJ Sokol Horní Bělá B</t>
  </si>
  <si>
    <t>Dioss Nýřany C</t>
  </si>
  <si>
    <t>ST DDM Stříbro A</t>
  </si>
  <si>
    <t>TJ Sokol Horažďovice B</t>
  </si>
  <si>
    <t>TJ Slavoj Chodová Planá A</t>
  </si>
  <si>
    <t>TJ Sokol Kdyně B</t>
  </si>
  <si>
    <t>TJ Sokol Pocinovice A</t>
  </si>
  <si>
    <t>TJ Sokol Přeštice A</t>
  </si>
  <si>
    <t>Šteffel Radek</t>
  </si>
  <si>
    <t>Leipelt Lukáš</t>
  </si>
  <si>
    <t>Vavro Radek</t>
  </si>
  <si>
    <t>Vítovec Miroslav</t>
  </si>
  <si>
    <t>Vítek Petr</t>
  </si>
  <si>
    <t>Láriš Petr st.</t>
  </si>
  <si>
    <t>Rolko Zdeněk</t>
  </si>
  <si>
    <t>Petrželka Karel</t>
  </si>
  <si>
    <t>Sommer Václav</t>
  </si>
  <si>
    <t>Baierl Tomáš</t>
  </si>
  <si>
    <t>Květon Jaroslav</t>
  </si>
  <si>
    <t>Sazama Adam</t>
  </si>
  <si>
    <t>Toman Ondřej</t>
  </si>
  <si>
    <t>Hnojský Jakub</t>
  </si>
  <si>
    <t>Květon Tomáš</t>
  </si>
  <si>
    <t>Netrval Jan</t>
  </si>
  <si>
    <t>Svoboda Lukáš</t>
  </si>
  <si>
    <t>Tománek Matyáš</t>
  </si>
  <si>
    <t>Končal Adam</t>
  </si>
  <si>
    <t>Kalousek Miloš</t>
  </si>
  <si>
    <t>Šlehofer Stanislav</t>
  </si>
  <si>
    <t>Šlegl Václav</t>
  </si>
  <si>
    <t>KST Klatovy A</t>
  </si>
  <si>
    <t>Kurc Vojtěch</t>
  </si>
  <si>
    <t>Marešová Zdeňka</t>
  </si>
  <si>
    <t>Kypta Michal</t>
  </si>
  <si>
    <t>Duchoň Antonín</t>
  </si>
  <si>
    <t>Macháček Radek</t>
  </si>
  <si>
    <t>Balihar Jan</t>
  </si>
  <si>
    <t>TJ Union Plzeň B</t>
  </si>
  <si>
    <t>Uhlíř Marek</t>
  </si>
  <si>
    <t>Mezera Petr</t>
  </si>
  <si>
    <t>Panzer Tomáš</t>
  </si>
  <si>
    <t>Duchoň Roman</t>
  </si>
  <si>
    <t>März Tomáš</t>
  </si>
  <si>
    <t>Buriánek Martin</t>
  </si>
  <si>
    <t>Drábek Tomáš</t>
  </si>
  <si>
    <t>Vonásek Václav</t>
  </si>
  <si>
    <t>Laubr Jiří</t>
  </si>
  <si>
    <t>Bočan Miroslav</t>
  </si>
  <si>
    <t>Skopová Šárka</t>
  </si>
  <si>
    <t>SK Jiskra Domažlice B</t>
  </si>
  <si>
    <t>Nechutný Petr ml.</t>
  </si>
  <si>
    <t>Pešička Ladislav</t>
  </si>
  <si>
    <t>Gruber Petr</t>
  </si>
  <si>
    <t>Mojžíš Josef</t>
  </si>
  <si>
    <t>Nechutný Marek</t>
  </si>
  <si>
    <t>Švamberg Daniel</t>
  </si>
  <si>
    <t>Hubka Jiří</t>
  </si>
  <si>
    <t>Šulda David</t>
  </si>
  <si>
    <t>Gregor Martin</t>
  </si>
  <si>
    <t>Mácová Martina</t>
  </si>
  <si>
    <t>Mašek Petr</t>
  </si>
  <si>
    <t>TJ Union Plzeň C</t>
  </si>
  <si>
    <t>KOC Sušice</t>
  </si>
  <si>
    <t>TJ Sokol Plzeň V A</t>
  </si>
  <si>
    <t>TJ Sokol Plzeň V B</t>
  </si>
  <si>
    <t>Hnojská Andrea</t>
  </si>
  <si>
    <t>Kesman Karel</t>
  </si>
  <si>
    <t>Láriš Petr</t>
  </si>
  <si>
    <t>Soukup Miloš</t>
  </si>
  <si>
    <t>Adam Ondřej</t>
  </si>
  <si>
    <t>Pachner Jan</t>
  </si>
  <si>
    <t>Grus Matěj</t>
  </si>
  <si>
    <t>Trnka Josef</t>
  </si>
  <si>
    <t>Jarab Josef</t>
  </si>
  <si>
    <t>Důra Matouš</t>
  </si>
  <si>
    <t>Jakubec Vladimír</t>
  </si>
  <si>
    <t>Egermaier Jakub</t>
  </si>
  <si>
    <t>Hoch Jiří</t>
  </si>
  <si>
    <t>Janda Vladimír</t>
  </si>
  <si>
    <t>Niedermayer Ondřej</t>
  </si>
  <si>
    <t>TJ Sokol Plzeň V C</t>
  </si>
  <si>
    <t>TJ Sokol Bor B</t>
  </si>
  <si>
    <t>Wohlmuth Lukáš</t>
  </si>
  <si>
    <t>Plassová Jana</t>
  </si>
  <si>
    <t>Pešek Eduard</t>
  </si>
  <si>
    <t>Ramsauer Tomáš</t>
  </si>
  <si>
    <t>Honalová Klára</t>
  </si>
  <si>
    <t>Brzica Matěj</t>
  </si>
  <si>
    <t>Kříž Petr</t>
  </si>
  <si>
    <t>Kuncl Denis</t>
  </si>
  <si>
    <t>Cach Jaroslav</t>
  </si>
  <si>
    <t>Šípek Filip</t>
  </si>
  <si>
    <t>Nový David</t>
  </si>
  <si>
    <t>Tomášů Radek</t>
  </si>
  <si>
    <t>Weis Filip</t>
  </si>
  <si>
    <t>Hrčka Jaroslav</t>
  </si>
  <si>
    <t>Noha Miroslav</t>
  </si>
  <si>
    <t>SK Sokol Domažlice C</t>
  </si>
  <si>
    <t>TJ Sokol Lhůta B - Trnová</t>
  </si>
  <si>
    <t>TJ Sokol Plzeň V D</t>
  </si>
  <si>
    <t>TJ Sokol Plzeň V E</t>
  </si>
  <si>
    <t>Dioss Nýřany B</t>
  </si>
  <si>
    <t>KOC Sušice B</t>
  </si>
  <si>
    <t>KST Klatovy B</t>
  </si>
  <si>
    <t>Marešová Zdeňka ml.</t>
  </si>
  <si>
    <t>Vostrý Pavel</t>
  </si>
  <si>
    <t>Valdman Stanislav</t>
  </si>
  <si>
    <t>Dvořák Petr</t>
  </si>
  <si>
    <t>Hlavatá Jana</t>
  </si>
  <si>
    <t>Kociánová Dana</t>
  </si>
  <si>
    <t>Moučka Matěj</t>
  </si>
  <si>
    <t>Ibrmajer Matěj</t>
  </si>
  <si>
    <t>Jůza Jaroslav</t>
  </si>
  <si>
    <t>Dao Trong Tuan</t>
  </si>
  <si>
    <t>Janoušová Pavla</t>
  </si>
  <si>
    <t>Šlajch Stanislav</t>
  </si>
  <si>
    <t>Schlafer Marek</t>
  </si>
  <si>
    <t>Čížková Alena</t>
  </si>
  <si>
    <t>Bureš Jan</t>
  </si>
  <si>
    <t>Bošek Vladimír</t>
  </si>
  <si>
    <t>Běl Jan</t>
  </si>
  <si>
    <t>Rožumberg Jiří</t>
  </si>
  <si>
    <t>Kopa Jan</t>
  </si>
  <si>
    <t>Milfort Jiří st.</t>
  </si>
  <si>
    <t>Potužák Václav</t>
  </si>
  <si>
    <t>Seufert Reinhard</t>
  </si>
  <si>
    <t>Milfort Jiří ml.</t>
  </si>
  <si>
    <t>Milfortová Simona</t>
  </si>
  <si>
    <t>Páleník Petr</t>
  </si>
  <si>
    <t>Belfín Karel ml.</t>
  </si>
  <si>
    <t>Havlíček Matěj</t>
  </si>
  <si>
    <t>Harmáček Milan</t>
  </si>
  <si>
    <t>Vladař Dominik</t>
  </si>
  <si>
    <t>Řezanka Jozef</t>
  </si>
  <si>
    <t>Šilhánek Patrik</t>
  </si>
  <si>
    <t>TJ Hrádek A</t>
  </si>
  <si>
    <t>TJ Dynamo Horšovský Týn A</t>
  </si>
  <si>
    <t>ST DDM Stříbro B</t>
  </si>
  <si>
    <t>Bageta Dolany A</t>
  </si>
  <si>
    <t>Mudra Jan</t>
  </si>
  <si>
    <t>Janík Ladislav</t>
  </si>
  <si>
    <t>Růžička Zdeněk</t>
  </si>
  <si>
    <t>Matoušová Aneta</t>
  </si>
  <si>
    <t>Matoušová Jana</t>
  </si>
  <si>
    <t>Hrubý Karel</t>
  </si>
  <si>
    <t>Valdhans Miloslav</t>
  </si>
  <si>
    <t>Hobl Pavel</t>
  </si>
  <si>
    <t>Mudra Jakub</t>
  </si>
  <si>
    <t>Lanči Jakub</t>
  </si>
  <si>
    <t>Višňovský Václav</t>
  </si>
  <si>
    <t>Bistřický David</t>
  </si>
  <si>
    <t>Bednář David</t>
  </si>
  <si>
    <t>Gabriel Karel</t>
  </si>
  <si>
    <t>Němec Josef</t>
  </si>
  <si>
    <t>Písařík Zdeněk</t>
  </si>
  <si>
    <t>Herzer Jan</t>
  </si>
  <si>
    <t>Mráz Václav</t>
  </si>
  <si>
    <t>Plachý Pavel</t>
  </si>
  <si>
    <t>Dominková Eliška</t>
  </si>
  <si>
    <t>Hlavatý Václav</t>
  </si>
  <si>
    <t>Jančík Pavel</t>
  </si>
  <si>
    <t>Kocna Dan</t>
  </si>
  <si>
    <t>Kovanda Jakub</t>
  </si>
  <si>
    <t>Straka Michal</t>
  </si>
  <si>
    <t>Budín Václav</t>
  </si>
  <si>
    <t>Nímanský Jaroslav</t>
  </si>
  <si>
    <t>Belfín Karel</t>
  </si>
  <si>
    <t>Krejčí Jiří</t>
  </si>
  <si>
    <t>Talián Michal</t>
  </si>
  <si>
    <t>Bejček Jiří</t>
  </si>
  <si>
    <t>Černá Veronika</t>
  </si>
  <si>
    <t>Kott Tomáš</t>
  </si>
  <si>
    <t>TJ Slavoj Stod A</t>
  </si>
  <si>
    <t>TJ Sokol Břasy</t>
  </si>
  <si>
    <t>SKUŘ Plzeň A</t>
  </si>
  <si>
    <t>Lehner Vladimír</t>
  </si>
  <si>
    <t>Jícha Pavel</t>
  </si>
  <si>
    <t>Pták Luboš</t>
  </si>
  <si>
    <t>Bělohlávek Luděk</t>
  </si>
  <si>
    <t>Ineman František</t>
  </si>
  <si>
    <t>Gašparovič Martin</t>
  </si>
  <si>
    <t>Boháček Václav</t>
  </si>
  <si>
    <t>Lev Josef</t>
  </si>
  <si>
    <t>Somolík Miloš</t>
  </si>
  <si>
    <t>Fišer Václav</t>
  </si>
  <si>
    <t>Loukota Ondřej</t>
  </si>
  <si>
    <t>Sedlecký Josef</t>
  </si>
  <si>
    <t>Piazza Dominik</t>
  </si>
  <si>
    <t>Veselovský Ján</t>
  </si>
  <si>
    <t>Šlehofer Stanislav ml.</t>
  </si>
  <si>
    <t>Chodounský Martin</t>
  </si>
  <si>
    <t>Korbel Petr</t>
  </si>
  <si>
    <t>Kubát Jan</t>
  </si>
  <si>
    <t>Peckert Daniel</t>
  </si>
  <si>
    <t>Dietl Luboš</t>
  </si>
  <si>
    <t>Horek Daniel</t>
  </si>
  <si>
    <t>Mandík Petr</t>
  </si>
  <si>
    <t>Čákora Ladislav</t>
  </si>
  <si>
    <t>Šrámek Václav</t>
  </si>
  <si>
    <t>Kunst Petr</t>
  </si>
  <si>
    <t>Gábor Filip</t>
  </si>
  <si>
    <t>TJ Sokol Kdyně A</t>
  </si>
  <si>
    <t>TJ Sokol Klabava A</t>
  </si>
  <si>
    <t>TJ Slavoj Stod B</t>
  </si>
  <si>
    <t>SKUŘ Plzeň B</t>
  </si>
  <si>
    <t>Kubík Libor</t>
  </si>
  <si>
    <t>Toman Josef</t>
  </si>
  <si>
    <t>Vild Jan</t>
  </si>
  <si>
    <t>Hájek Milan</t>
  </si>
  <si>
    <t>Bednář Radomír</t>
  </si>
  <si>
    <t>Šauer David</t>
  </si>
  <si>
    <t>Bradna Zdeněk</t>
  </si>
  <si>
    <t>Kočárek Pavel</t>
  </si>
  <si>
    <t>Šauer Robert</t>
  </si>
  <si>
    <t>Šmíd Josef</t>
  </si>
  <si>
    <t>Kozelka Martin</t>
  </si>
  <si>
    <t>Lorenc Tomáš</t>
  </si>
  <si>
    <t>Vokurka Jaroslav</t>
  </si>
  <si>
    <t>Duraj Vojtěch</t>
  </si>
  <si>
    <t>Čech Jiří</t>
  </si>
  <si>
    <t>Kurz Petr</t>
  </si>
  <si>
    <t>Sýkora Hynek</t>
  </si>
  <si>
    <t>Gallerach Pavel</t>
  </si>
  <si>
    <t>Myška Václav ml.</t>
  </si>
  <si>
    <t>SK Drahotín A</t>
  </si>
  <si>
    <t>TJ Slavoj Stod C</t>
  </si>
  <si>
    <t>TJ Sokol Bor C</t>
  </si>
  <si>
    <t>Michal Jan st.</t>
  </si>
  <si>
    <t>Kašper Petr</t>
  </si>
  <si>
    <t>Novotný Roman ml.</t>
  </si>
  <si>
    <t>Ulman Miroslav</t>
  </si>
  <si>
    <t>Kříž Michal</t>
  </si>
  <si>
    <t>Pošar Pavel</t>
  </si>
  <si>
    <t>Novotný Roman st.</t>
  </si>
  <si>
    <t>Michal Jan ml.</t>
  </si>
  <si>
    <t>Jílek Karel</t>
  </si>
  <si>
    <t>Koky Robert</t>
  </si>
  <si>
    <t>Miňovský Jaroslav</t>
  </si>
  <si>
    <t>Pechovský Ludvík</t>
  </si>
  <si>
    <t>Slavík Viktor</t>
  </si>
  <si>
    <t>Koreň Pavel</t>
  </si>
  <si>
    <t>Šleis Petr</t>
  </si>
  <si>
    <t>Sedlák František</t>
  </si>
  <si>
    <t>Šejba Bohumír</t>
  </si>
  <si>
    <t>Šoltés Juraj</t>
  </si>
  <si>
    <t>Soukup Matěj</t>
  </si>
  <si>
    <t>Soukup Miroslav</t>
  </si>
  <si>
    <t>TJ Sokol Nezvěstice A</t>
  </si>
  <si>
    <t>TJ Sokol Těně A</t>
  </si>
  <si>
    <t>SKUŘ Plzeň C</t>
  </si>
  <si>
    <t>TJ Sokol Mirošov A</t>
  </si>
  <si>
    <t>TJ Sokol Klabava B</t>
  </si>
  <si>
    <t>Šilhánek Martin</t>
  </si>
  <si>
    <t>Hach Václav</t>
  </si>
  <si>
    <t>Zoubele Slavomír ml.</t>
  </si>
  <si>
    <t>Hodek Martin</t>
  </si>
  <si>
    <t>Česal Luděk</t>
  </si>
  <si>
    <t>Havlíček Václav</t>
  </si>
  <si>
    <t>Hach Jaroslav</t>
  </si>
  <si>
    <t>Mařík Karel</t>
  </si>
  <si>
    <t>Hejduk Zdeněk</t>
  </si>
  <si>
    <t>Hobl Václav</t>
  </si>
  <si>
    <t>Louda Jan st.</t>
  </si>
  <si>
    <t>Skřivánek Ladislav</t>
  </si>
  <si>
    <t>Boura Lukáš</t>
  </si>
  <si>
    <t>Babický Josef</t>
  </si>
  <si>
    <t>Lopata Vladimír</t>
  </si>
  <si>
    <t>Vyskočil Martin</t>
  </si>
  <si>
    <t>Vyskočil Marek</t>
  </si>
  <si>
    <t>Murlová Dana</t>
  </si>
  <si>
    <t>Dostál Ondřej</t>
  </si>
  <si>
    <t>Lev Marek</t>
  </si>
  <si>
    <t>Hubáček Jan</t>
  </si>
  <si>
    <t>Judl Rostislav</t>
  </si>
  <si>
    <t>Kotas Pavel</t>
  </si>
  <si>
    <t>Ludín Jiří</t>
  </si>
  <si>
    <t>Aubrecht Jiří</t>
  </si>
  <si>
    <t>Dobrý Václav</t>
  </si>
  <si>
    <t>Ungr Jan II.</t>
  </si>
  <si>
    <t>Dvořák Jaroslav</t>
  </si>
  <si>
    <t>Poch Pavel</t>
  </si>
  <si>
    <t>Poch Petr</t>
  </si>
  <si>
    <t>Krajdl Roman</t>
  </si>
  <si>
    <t>Tomášek Martin</t>
  </si>
  <si>
    <t>Dobrý Jan</t>
  </si>
  <si>
    <t>Tomášek Pavel st.</t>
  </si>
  <si>
    <t>Krajdlová Naďa</t>
  </si>
  <si>
    <t>Wimmer Jan</t>
  </si>
  <si>
    <t>Zeman Luboš</t>
  </si>
  <si>
    <t>Bauer Petr</t>
  </si>
  <si>
    <t>Chrástek Věroslav</t>
  </si>
  <si>
    <t>Janeček Lukáš</t>
  </si>
  <si>
    <t>Wimmer Adam</t>
  </si>
  <si>
    <t>sezóna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</si>
</sst>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/m/yy;@"/>
  </numFmts>
  <fonts count="6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u/>
      <sz val="14"/>
      <name val="Arial CE"/>
      <family val="2"/>
      <charset val="238"/>
    </font>
    <font>
      <sz val="13"/>
      <name val="Arial CE"/>
      <family val="2"/>
      <charset val="238"/>
    </font>
    <font>
      <sz val="11"/>
      <name val="Arial CE"/>
      <family val="2"/>
      <charset val="238"/>
    </font>
    <font>
      <b/>
      <sz val="13"/>
      <name val="Arial CE"/>
      <family val="2"/>
      <charset val="238"/>
    </font>
    <font>
      <b/>
      <sz val="10"/>
      <name val="Verdana"/>
      <family val="2"/>
      <charset val="238"/>
    </font>
    <font>
      <strike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7"/>
      <name val="Arial CE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1"/>
      <name val="Arial CE"/>
      <charset val="238"/>
    </font>
    <font>
      <b/>
      <i/>
      <sz val="13"/>
      <name val="Arial"/>
      <family val="2"/>
      <charset val="238"/>
    </font>
    <font>
      <sz val="8"/>
      <name val="Arial CE"/>
      <charset val="238"/>
    </font>
    <font>
      <strike/>
      <sz val="10"/>
      <name val="Arial CE"/>
      <charset val="238"/>
    </font>
    <font>
      <b/>
      <sz val="12"/>
      <color indexed="10"/>
      <name val="Arial CE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26"/>
      <name val="Times New Roman"/>
      <family val="1"/>
      <charset val="238"/>
    </font>
    <font>
      <sz val="26"/>
      <name val="Times New Roman"/>
      <family val="1"/>
      <charset val="238"/>
    </font>
    <font>
      <sz val="220"/>
      <name val="Impact"/>
      <family val="2"/>
      <charset val="238"/>
    </font>
    <font>
      <sz val="150"/>
      <name val="Impact"/>
      <family val="2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22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9"/>
      <name val="Arial CE"/>
      <charset val="238"/>
    </font>
    <font>
      <b/>
      <sz val="48"/>
      <name val="Times New Roman"/>
      <family val="1"/>
      <charset val="238"/>
    </font>
    <font>
      <sz val="14"/>
      <name val="Times New Roman"/>
      <family val="1"/>
      <charset val="238"/>
    </font>
    <font>
      <sz val="48"/>
      <name val="Times New Roman"/>
      <family val="1"/>
      <charset val="238"/>
    </font>
    <font>
      <b/>
      <sz val="14"/>
      <name val="Arial CE"/>
      <charset val="238"/>
    </font>
    <font>
      <sz val="11"/>
      <name val="Arial CE"/>
      <charset val="238"/>
    </font>
    <font>
      <b/>
      <sz val="10"/>
      <color indexed="10"/>
      <name val="Arial CE"/>
      <charset val="238"/>
    </font>
    <font>
      <b/>
      <sz val="14"/>
      <color indexed="10"/>
      <name val="Arial CE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b/>
      <i/>
      <sz val="36"/>
      <name val="Times New Roman"/>
      <family val="1"/>
      <charset val="238"/>
    </font>
    <font>
      <b/>
      <sz val="16"/>
      <name val="Arial CE"/>
      <charset val="238"/>
    </font>
    <font>
      <b/>
      <i/>
      <sz val="14"/>
      <color indexed="12"/>
      <name val="Arial CE"/>
      <charset val="238"/>
    </font>
    <font>
      <b/>
      <i/>
      <sz val="10"/>
      <name val="Arial CE"/>
      <charset val="238"/>
    </font>
    <font>
      <b/>
      <sz val="28"/>
      <color indexed="10"/>
      <name val="Arial CE"/>
      <charset val="238"/>
    </font>
    <font>
      <b/>
      <sz val="14"/>
      <color indexed="10"/>
      <name val="Arial CE"/>
      <charset val="238"/>
    </font>
    <font>
      <b/>
      <sz val="14"/>
      <color indexed="12"/>
      <name val="Arial CE"/>
      <charset val="238"/>
    </font>
    <font>
      <b/>
      <i/>
      <sz val="10"/>
      <color indexed="10"/>
      <name val="Arial CE"/>
      <charset val="238"/>
    </font>
    <font>
      <sz val="14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hidden="1"/>
    </xf>
    <xf numFmtId="1" fontId="0" fillId="0" borderId="0" xfId="0" applyNumberFormat="1" applyBorder="1" applyAlignment="1" applyProtection="1">
      <alignment wrapText="1"/>
      <protection hidden="1"/>
    </xf>
    <xf numFmtId="0" fontId="0" fillId="0" borderId="14" xfId="0" applyBorder="1" applyAlignment="1" applyProtection="1">
      <alignment wrapText="1"/>
      <protection hidden="1"/>
    </xf>
    <xf numFmtId="0" fontId="0" fillId="0" borderId="15" xfId="0" applyBorder="1" applyAlignment="1" applyProtection="1">
      <alignment wrapText="1"/>
      <protection hidden="1"/>
    </xf>
    <xf numFmtId="0" fontId="0" fillId="3" borderId="0" xfId="0" applyFill="1" applyBorder="1" applyAlignment="1" applyProtection="1">
      <alignment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Border="1" applyAlignment="1" applyProtection="1">
      <alignment horizontal="center" wrapText="1"/>
      <protection hidden="1"/>
    </xf>
    <xf numFmtId="0" fontId="0" fillId="7" borderId="0" xfId="0" applyFill="1" applyBorder="1" applyAlignment="1" applyProtection="1">
      <alignment horizontal="center" wrapText="1"/>
      <protection hidden="1"/>
    </xf>
    <xf numFmtId="0" fontId="0" fillId="8" borderId="0" xfId="0" applyFill="1" applyBorder="1" applyAlignment="1" applyProtection="1">
      <alignment horizontal="center" wrapText="1"/>
      <protection hidden="1"/>
    </xf>
    <xf numFmtId="0" fontId="0" fillId="8" borderId="0" xfId="0" applyNumberFormat="1" applyFill="1" applyBorder="1" applyAlignment="1" applyProtection="1">
      <alignment horizontal="center" wrapText="1"/>
      <protection hidden="1"/>
    </xf>
    <xf numFmtId="0" fontId="0" fillId="0" borderId="0" xfId="0" applyNumberFormat="1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" fontId="0" fillId="0" borderId="0" xfId="0" applyNumberFormat="1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3" borderId="0" xfId="0" applyFill="1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7" borderId="0" xfId="0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horizontal="center" vertical="center" wrapText="1"/>
      <protection hidden="1"/>
    </xf>
    <xf numFmtId="0" fontId="0" fillId="8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1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14" xfId="0" applyFont="1" applyBorder="1" applyAlignment="1" applyProtection="1">
      <alignment vertical="center" wrapText="1"/>
      <protection hidden="1"/>
    </xf>
    <xf numFmtId="0" fontId="3" fillId="0" borderId="15" xfId="0" applyFont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Border="1" applyAlignment="1" applyProtection="1">
      <alignment horizontal="center" vertical="center" wrapText="1"/>
      <protection hidden="1"/>
    </xf>
    <xf numFmtId="0" fontId="3" fillId="6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7" borderId="0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Border="1" applyAlignment="1" applyProtection="1">
      <alignment horizontal="center" vertical="center" wrapText="1"/>
      <protection hidden="1"/>
    </xf>
    <xf numFmtId="0" fontId="3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3" fillId="0" borderId="15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1" fontId="0" fillId="2" borderId="10" xfId="0" applyNumberForma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21" xfId="0" applyFill="1" applyBorder="1" applyAlignment="1" applyProtection="1">
      <alignment horizontal="center" vertical="center" wrapText="1"/>
      <protection hidden="1"/>
    </xf>
    <xf numFmtId="0" fontId="0" fillId="6" borderId="22" xfId="0" applyFill="1" applyBorder="1" applyAlignment="1" applyProtection="1">
      <alignment horizontal="center" vertical="center" wrapText="1"/>
      <protection hidden="1"/>
    </xf>
    <xf numFmtId="0" fontId="0" fillId="8" borderId="21" xfId="0" applyFill="1" applyBorder="1" applyAlignment="1" applyProtection="1">
      <alignment horizontal="center" vertical="center" wrapText="1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1" xfId="0" applyNumberFormat="1" applyFill="1" applyBorder="1" applyAlignment="1" applyProtection="1">
      <alignment horizontal="center" vertical="center" wrapText="1"/>
      <protection hidden="1"/>
    </xf>
    <xf numFmtId="0" fontId="0" fillId="8" borderId="22" xfId="0" applyNumberFormat="1" applyFill="1" applyBorder="1" applyAlignment="1" applyProtection="1">
      <alignment horizontal="center" vertical="center" wrapText="1"/>
      <protection hidden="1"/>
    </xf>
    <xf numFmtId="0" fontId="0" fillId="8" borderId="23" xfId="0" applyNumberForma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0" fillId="6" borderId="14" xfId="0" applyFill="1" applyBorder="1" applyAlignment="1" applyProtection="1">
      <alignment horizontal="center" vertical="center" wrapText="1"/>
      <protection hidden="1"/>
    </xf>
    <xf numFmtId="0" fontId="0" fillId="6" borderId="15" xfId="0" applyFill="1" applyBorder="1" applyAlignment="1" applyProtection="1">
      <alignment horizontal="center" vertical="center" wrapText="1"/>
      <protection hidden="1"/>
    </xf>
    <xf numFmtId="0" fontId="0" fillId="8" borderId="14" xfId="0" applyFill="1" applyBorder="1" applyAlignment="1" applyProtection="1">
      <alignment horizontal="center" vertical="center" wrapText="1"/>
      <protection hidden="1"/>
    </xf>
    <xf numFmtId="0" fontId="0" fillId="8" borderId="14" xfId="0" applyNumberFormat="1" applyFill="1" applyBorder="1" applyAlignment="1" applyProtection="1">
      <alignment horizontal="center" vertical="center" wrapText="1"/>
      <protection hidden="1"/>
    </xf>
    <xf numFmtId="0" fontId="0" fillId="8" borderId="15" xfId="0" applyNumberFormat="1" applyFill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8" borderId="14" xfId="0" applyFill="1" applyBorder="1" applyAlignment="1" applyProtection="1">
      <alignment vertical="center" wrapText="1"/>
      <protection hidden="1"/>
    </xf>
    <xf numFmtId="0" fontId="0" fillId="8" borderId="15" xfId="0" applyFill="1" applyBorder="1" applyAlignment="1" applyProtection="1">
      <alignment vertical="center" wrapText="1"/>
      <protection hidden="1"/>
    </xf>
    <xf numFmtId="0" fontId="0" fillId="8" borderId="0" xfId="0" applyFill="1" applyBorder="1" applyAlignment="1" applyProtection="1">
      <alignment vertical="center" wrapText="1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vertical="center" wrapText="1"/>
      <protection hidden="1"/>
    </xf>
    <xf numFmtId="0" fontId="0" fillId="0" borderId="33" xfId="0" applyBorder="1" applyAlignment="1" applyProtection="1">
      <alignment vertical="center" wrapText="1"/>
      <protection hidden="1"/>
    </xf>
    <xf numFmtId="0" fontId="0" fillId="6" borderId="34" xfId="0" applyFill="1" applyBorder="1" applyAlignment="1" applyProtection="1">
      <alignment horizontal="center" vertical="center" wrapText="1"/>
      <protection hidden="1"/>
    </xf>
    <xf numFmtId="0" fontId="0" fillId="6" borderId="33" xfId="0" applyFill="1" applyBorder="1" applyAlignment="1" applyProtection="1">
      <alignment horizontal="center" vertical="center" wrapText="1"/>
      <protection hidden="1"/>
    </xf>
    <xf numFmtId="0" fontId="0" fillId="8" borderId="34" xfId="0" applyFill="1" applyBorder="1" applyAlignment="1" applyProtection="1">
      <alignment horizontal="center" vertical="center" wrapText="1"/>
      <protection hidden="1"/>
    </xf>
    <xf numFmtId="0" fontId="0" fillId="8" borderId="32" xfId="0" applyFill="1" applyBorder="1" applyAlignment="1" applyProtection="1">
      <alignment horizontal="center" vertical="center" wrapText="1"/>
      <protection hidden="1"/>
    </xf>
    <xf numFmtId="0" fontId="0" fillId="8" borderId="34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NumberFormat="1" applyFill="1" applyBorder="1" applyAlignment="1" applyProtection="1">
      <alignment horizontal="center" vertical="center" wrapText="1"/>
      <protection hidden="1"/>
    </xf>
    <xf numFmtId="0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6" borderId="35" xfId="0" applyFill="1" applyBorder="1" applyAlignment="1" applyProtection="1">
      <alignment horizontal="center" vertical="center" wrapText="1"/>
      <protection hidden="1"/>
    </xf>
    <xf numFmtId="0" fontId="0" fillId="6" borderId="36" xfId="0" applyFill="1" applyBorder="1" applyAlignment="1" applyProtection="1">
      <alignment horizontal="center" vertical="center" wrapText="1"/>
      <protection hidden="1"/>
    </xf>
    <xf numFmtId="0" fontId="0" fillId="6" borderId="37" xfId="0" applyFill="1" applyBorder="1" applyAlignment="1" applyProtection="1">
      <alignment horizontal="center" vertical="center" wrapText="1"/>
      <protection hidden="1"/>
    </xf>
    <xf numFmtId="0" fontId="0" fillId="8" borderId="35" xfId="0" applyFill="1" applyBorder="1" applyAlignment="1" applyProtection="1">
      <alignment horizontal="center" vertical="center" wrapText="1"/>
      <protection hidden="1"/>
    </xf>
    <xf numFmtId="0" fontId="0" fillId="8" borderId="36" xfId="0" applyFill="1" applyBorder="1" applyAlignment="1" applyProtection="1">
      <alignment horizontal="center" vertical="center" wrapText="1"/>
      <protection hidden="1"/>
    </xf>
    <xf numFmtId="0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21" fillId="8" borderId="37" xfId="0" applyNumberFormat="1" applyFont="1" applyFill="1" applyBorder="1" applyAlignment="1" applyProtection="1">
      <alignment horizontal="center" vertical="center" wrapText="1"/>
      <protection hidden="1"/>
    </xf>
    <xf numFmtId="0" fontId="21" fillId="8" borderId="3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14" fillId="0" borderId="39" xfId="0" applyFont="1" applyBorder="1" applyAlignment="1" applyProtection="1">
      <alignment horizontal="center" vertical="center"/>
      <protection hidden="1"/>
    </xf>
    <xf numFmtId="0" fontId="14" fillId="0" borderId="40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vertical="center" wrapText="1"/>
      <protection locked="0" hidden="1"/>
    </xf>
    <xf numFmtId="0" fontId="16" fillId="0" borderId="41" xfId="0" applyFont="1" applyBorder="1" applyAlignment="1" applyProtection="1">
      <alignment vertical="center" wrapText="1"/>
      <protection locked="0" hidden="1"/>
    </xf>
    <xf numFmtId="49" fontId="0" fillId="0" borderId="12" xfId="0" applyNumberFormat="1" applyBorder="1" applyAlignment="1" applyProtection="1">
      <alignment horizontal="center" vertical="center" wrapText="1"/>
      <protection locked="0" hidden="1"/>
    </xf>
    <xf numFmtId="49" fontId="0" fillId="0" borderId="10" xfId="0" applyNumberFormat="1" applyBorder="1" applyAlignment="1" applyProtection="1">
      <alignment horizontal="center" vertical="center" wrapText="1"/>
      <protection locked="0" hidden="1"/>
    </xf>
    <xf numFmtId="49" fontId="0" fillId="0" borderId="11" xfId="0" applyNumberFormat="1" applyBorder="1" applyAlignment="1" applyProtection="1">
      <alignment horizontal="center" vertical="center" wrapText="1"/>
      <protection locked="0" hidden="1"/>
    </xf>
    <xf numFmtId="49" fontId="0" fillId="0" borderId="39" xfId="0" applyNumberFormat="1" applyBorder="1" applyAlignment="1" applyProtection="1">
      <alignment horizontal="center" vertical="center" wrapText="1"/>
      <protection locked="0" hidden="1"/>
    </xf>
    <xf numFmtId="49" fontId="0" fillId="0" borderId="41" xfId="0" applyNumberFormat="1" applyBorder="1" applyAlignment="1" applyProtection="1">
      <alignment horizontal="center" vertical="center" wrapText="1"/>
      <protection locked="0" hidden="1"/>
    </xf>
    <xf numFmtId="49" fontId="0" fillId="0" borderId="40" xfId="0" applyNumberFormat="1" applyBorder="1" applyAlignment="1" applyProtection="1">
      <alignment horizontal="center" vertical="center" wrapText="1"/>
      <protection locked="0" hidden="1"/>
    </xf>
    <xf numFmtId="49" fontId="0" fillId="0" borderId="12" xfId="0" applyNumberForma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  <protection locked="0" hidden="1"/>
    </xf>
    <xf numFmtId="0" fontId="0" fillId="0" borderId="0" xfId="0" applyNumberFormat="1" applyBorder="1" applyAlignment="1" applyProtection="1">
      <alignment wrapText="1"/>
      <protection hidden="1"/>
    </xf>
    <xf numFmtId="0" fontId="0" fillId="0" borderId="0" xfId="0" applyNumberFormat="1" applyBorder="1" applyAlignment="1" applyProtection="1">
      <alignment vertical="center" wrapText="1"/>
      <protection hidden="1"/>
    </xf>
    <xf numFmtId="0" fontId="3" fillId="0" borderId="0" xfId="0" applyNumberFormat="1" applyFont="1" applyBorder="1" applyAlignment="1" applyProtection="1">
      <alignment vertical="center" wrapText="1"/>
      <protection hidden="1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 shrinkToFit="1"/>
    </xf>
    <xf numFmtId="1" fontId="38" fillId="0" borderId="0" xfId="0" applyNumberFormat="1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1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1" fontId="40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3" fillId="0" borderId="34" xfId="0" applyFont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right"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49" fontId="0" fillId="0" borderId="4" xfId="0" applyNumberFormat="1" applyBorder="1" applyAlignment="1" applyProtection="1">
      <alignment horizontal="center" vertical="center" wrapText="1"/>
      <protection locked="0" hidden="1"/>
    </xf>
    <xf numFmtId="49" fontId="0" fillId="0" borderId="3" xfId="0" applyNumberFormat="1" applyBorder="1" applyAlignment="1" applyProtection="1">
      <alignment horizontal="center" vertical="center" wrapText="1"/>
      <protection locked="0" hidden="1"/>
    </xf>
    <xf numFmtId="0" fontId="46" fillId="0" borderId="0" xfId="0" applyFont="1" applyBorder="1" applyAlignment="1" applyProtection="1">
      <alignment vertical="center" wrapText="1"/>
      <protection hidden="1"/>
    </xf>
    <xf numFmtId="1" fontId="46" fillId="0" borderId="0" xfId="0" applyNumberFormat="1" applyFont="1" applyBorder="1" applyAlignment="1" applyProtection="1">
      <alignment vertical="center" wrapText="1"/>
      <protection hidden="1"/>
    </xf>
    <xf numFmtId="0" fontId="46" fillId="0" borderId="14" xfId="0" applyFont="1" applyBorder="1" applyAlignment="1" applyProtection="1">
      <alignment vertical="center" wrapText="1"/>
      <protection hidden="1"/>
    </xf>
    <xf numFmtId="0" fontId="46" fillId="0" borderId="15" xfId="0" applyFont="1" applyBorder="1" applyAlignment="1" applyProtection="1">
      <alignment vertical="center" wrapText="1"/>
      <protection hidden="1"/>
    </xf>
    <xf numFmtId="0" fontId="46" fillId="3" borderId="0" xfId="0" applyFont="1" applyFill="1" applyBorder="1" applyAlignment="1" applyProtection="1">
      <alignment vertical="center" wrapText="1"/>
      <protection hidden="1"/>
    </xf>
    <xf numFmtId="0" fontId="46" fillId="0" borderId="14" xfId="0" applyFont="1" applyBorder="1" applyAlignment="1" applyProtection="1">
      <alignment horizontal="left" vertical="center" wrapText="1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0" fontId="46" fillId="4" borderId="0" xfId="0" applyFont="1" applyFill="1" applyBorder="1" applyAlignment="1" applyProtection="1">
      <alignment horizontal="center" vertical="center" wrapText="1"/>
      <protection hidden="1"/>
    </xf>
    <xf numFmtId="0" fontId="46" fillId="5" borderId="0" xfId="0" applyFont="1" applyFill="1" applyBorder="1" applyAlignment="1" applyProtection="1">
      <alignment horizontal="center" vertical="center" wrapText="1"/>
      <protection hidden="1"/>
    </xf>
    <xf numFmtId="0" fontId="46" fillId="6" borderId="0" xfId="0" applyFont="1" applyFill="1" applyBorder="1" applyAlignment="1" applyProtection="1">
      <alignment horizontal="center" vertical="center" wrapText="1"/>
      <protection hidden="1"/>
    </xf>
    <xf numFmtId="0" fontId="46" fillId="2" borderId="0" xfId="0" applyFont="1" applyFill="1" applyBorder="1" applyAlignment="1" applyProtection="1">
      <alignment horizontal="center" vertical="center" wrapText="1"/>
      <protection hidden="1"/>
    </xf>
    <xf numFmtId="0" fontId="46" fillId="7" borderId="0" xfId="0" applyFont="1" applyFill="1" applyBorder="1" applyAlignment="1" applyProtection="1">
      <alignment horizontal="center" vertical="center" wrapText="1"/>
      <protection hidden="1"/>
    </xf>
    <xf numFmtId="0" fontId="46" fillId="8" borderId="0" xfId="0" applyFont="1" applyFill="1" applyBorder="1" applyAlignment="1" applyProtection="1">
      <alignment horizontal="center" vertical="center" wrapText="1"/>
      <protection hidden="1"/>
    </xf>
    <xf numFmtId="0" fontId="46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right" vertical="center" wrapText="1"/>
      <protection hidden="1"/>
    </xf>
    <xf numFmtId="0" fontId="46" fillId="0" borderId="0" xfId="0" applyFont="1" applyBorder="1" applyAlignment="1" applyProtection="1">
      <alignment horizontal="center" vertical="center" wrapText="1"/>
      <protection hidden="1"/>
    </xf>
    <xf numFmtId="0" fontId="46" fillId="0" borderId="0" xfId="0" applyNumberFormat="1" applyFont="1" applyBorder="1" applyAlignment="1" applyProtection="1">
      <alignment vertical="center" wrapText="1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4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center" vertical="center" wrapText="1"/>
      <protection locked="0"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0" fillId="0" borderId="29" xfId="0" applyNumberFormat="1" applyBorder="1" applyAlignment="1" applyProtection="1">
      <alignment horizontal="center" vertical="center" wrapText="1"/>
      <protection locked="0" hidden="1"/>
    </xf>
    <xf numFmtId="49" fontId="0" fillId="0" borderId="30" xfId="0" applyNumberFormat="1" applyBorder="1" applyAlignment="1" applyProtection="1">
      <alignment horizontal="center" vertical="center" wrapText="1"/>
      <protection locked="0" hidden="1"/>
    </xf>
    <xf numFmtId="49" fontId="0" fillId="0" borderId="44" xfId="0" applyNumberFormat="1" applyBorder="1" applyAlignment="1" applyProtection="1">
      <alignment horizontal="center" vertical="center" wrapText="1"/>
      <protection locked="0"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44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11" fillId="0" borderId="45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21" fillId="2" borderId="47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vertical="center" wrapText="1"/>
      <protection hidden="1"/>
    </xf>
    <xf numFmtId="0" fontId="16" fillId="0" borderId="30" xfId="0" applyFont="1" applyFill="1" applyBorder="1" applyAlignment="1" applyProtection="1">
      <alignment vertical="center" wrapText="1"/>
      <protection hidden="1"/>
    </xf>
    <xf numFmtId="49" fontId="16" fillId="0" borderId="10" xfId="0" applyNumberFormat="1" applyFont="1" applyFill="1" applyBorder="1" applyAlignment="1" applyProtection="1">
      <alignment vertical="center" shrinkToFit="1"/>
      <protection hidden="1"/>
    </xf>
    <xf numFmtId="49" fontId="16" fillId="0" borderId="30" xfId="0" applyNumberFormat="1" applyFont="1" applyFill="1" applyBorder="1" applyAlignment="1" applyProtection="1">
      <alignment vertical="center" shrinkToFit="1"/>
      <protection hidden="1"/>
    </xf>
    <xf numFmtId="0" fontId="0" fillId="0" borderId="48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46" fillId="0" borderId="0" xfId="0" applyFont="1" applyFill="1" applyBorder="1" applyAlignment="1" applyProtection="1">
      <alignment vertical="center" wrapText="1"/>
      <protection hidden="1"/>
    </xf>
    <xf numFmtId="0" fontId="0" fillId="0" borderId="51" xfId="0" applyBorder="1" applyAlignment="1" applyProtection="1">
      <alignment wrapText="1"/>
      <protection hidden="1"/>
    </xf>
    <xf numFmtId="0" fontId="0" fillId="0" borderId="52" xfId="0" applyBorder="1" applyAlignment="1" applyProtection="1">
      <alignment wrapText="1"/>
      <protection hidden="1"/>
    </xf>
    <xf numFmtId="0" fontId="0" fillId="0" borderId="53" xfId="0" applyBorder="1" applyAlignment="1" applyProtection="1">
      <alignment wrapText="1"/>
      <protection hidden="1"/>
    </xf>
    <xf numFmtId="0" fontId="39" fillId="2" borderId="0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 applyAlignment="1" applyProtection="1">
      <alignment horizontal="center" vertical="center" wrapText="1"/>
      <protection hidden="1"/>
    </xf>
    <xf numFmtId="0" fontId="34" fillId="2" borderId="0" xfId="0" applyFont="1" applyFill="1" applyBorder="1" applyAlignment="1" applyProtection="1">
      <alignment vertical="center" wrapText="1"/>
      <protection hidden="1"/>
    </xf>
    <xf numFmtId="0" fontId="34" fillId="0" borderId="0" xfId="0" applyFont="1" applyBorder="1" applyAlignment="1" applyProtection="1">
      <alignment vertical="center" wrapText="1"/>
      <protection hidden="1"/>
    </xf>
    <xf numFmtId="1" fontId="34" fillId="0" borderId="0" xfId="0" applyNumberFormat="1" applyFont="1" applyBorder="1" applyAlignment="1" applyProtection="1">
      <alignment vertical="center" wrapText="1"/>
      <protection hidden="1"/>
    </xf>
    <xf numFmtId="0" fontId="34" fillId="0" borderId="14" xfId="0" applyFont="1" applyBorder="1" applyAlignment="1" applyProtection="1">
      <alignment vertical="center" wrapText="1"/>
      <protection hidden="1"/>
    </xf>
    <xf numFmtId="0" fontId="34" fillId="0" borderId="15" xfId="0" applyFont="1" applyBorder="1" applyAlignment="1" applyProtection="1">
      <alignment vertical="center" wrapText="1"/>
      <protection hidden="1"/>
    </xf>
    <xf numFmtId="0" fontId="34" fillId="3" borderId="0" xfId="0" applyFont="1" applyFill="1" applyBorder="1" applyAlignment="1" applyProtection="1">
      <alignment vertical="center" wrapText="1"/>
      <protection hidden="1"/>
    </xf>
    <xf numFmtId="0" fontId="34" fillId="0" borderId="14" xfId="0" applyFont="1" applyBorder="1" applyAlignment="1" applyProtection="1">
      <alignment horizontal="left" vertical="center" wrapText="1"/>
      <protection hidden="1"/>
    </xf>
    <xf numFmtId="0" fontId="34" fillId="0" borderId="0" xfId="0" applyFont="1" applyBorder="1" applyAlignment="1" applyProtection="1">
      <alignment horizontal="left" vertical="center" wrapText="1"/>
      <protection hidden="1"/>
    </xf>
    <xf numFmtId="0" fontId="34" fillId="4" borderId="0" xfId="0" applyFont="1" applyFill="1" applyBorder="1" applyAlignment="1" applyProtection="1">
      <alignment horizontal="center" vertical="center" wrapText="1"/>
      <protection hidden="1"/>
    </xf>
    <xf numFmtId="0" fontId="34" fillId="5" borderId="0" xfId="0" applyFont="1" applyFill="1" applyBorder="1" applyAlignment="1" applyProtection="1">
      <alignment horizontal="center" vertical="center" wrapText="1"/>
      <protection hidden="1"/>
    </xf>
    <xf numFmtId="0" fontId="34" fillId="6" borderId="0" xfId="0" applyFont="1" applyFill="1" applyBorder="1" applyAlignment="1" applyProtection="1">
      <alignment horizontal="center" vertical="center" wrapText="1"/>
      <protection hidden="1"/>
    </xf>
    <xf numFmtId="0" fontId="34" fillId="7" borderId="0" xfId="0" applyFont="1" applyFill="1" applyBorder="1" applyAlignment="1" applyProtection="1">
      <alignment horizontal="center" vertical="center" wrapText="1"/>
      <protection hidden="1"/>
    </xf>
    <xf numFmtId="0" fontId="34" fillId="8" borderId="0" xfId="0" applyFont="1" applyFill="1" applyBorder="1" applyAlignment="1" applyProtection="1">
      <alignment horizontal="center" vertical="center" wrapText="1"/>
      <protection hidden="1"/>
    </xf>
    <xf numFmtId="0" fontId="34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Border="1" applyAlignment="1" applyProtection="1">
      <alignment horizontal="right" vertical="center" wrapText="1"/>
      <protection hidden="1"/>
    </xf>
    <xf numFmtId="0" fontId="34" fillId="0" borderId="0" xfId="0" applyFont="1" applyBorder="1" applyAlignment="1" applyProtection="1">
      <alignment horizontal="center" vertical="center" wrapText="1"/>
      <protection hidden="1"/>
    </xf>
    <xf numFmtId="0" fontId="34" fillId="0" borderId="0" xfId="0" applyNumberFormat="1" applyFont="1" applyBorder="1" applyAlignment="1" applyProtection="1">
      <alignment vertical="center" wrapText="1"/>
      <protection hidden="1"/>
    </xf>
    <xf numFmtId="0" fontId="34" fillId="0" borderId="0" xfId="0" applyFont="1" applyFill="1" applyBorder="1" applyAlignment="1" applyProtection="1">
      <alignment vertical="center" wrapText="1"/>
      <protection hidden="1"/>
    </xf>
    <xf numFmtId="0" fontId="49" fillId="0" borderId="0" xfId="0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 applyBorder="1" applyAlignment="1" applyProtection="1">
      <alignment wrapText="1"/>
      <protection hidden="1"/>
    </xf>
    <xf numFmtId="164" fontId="0" fillId="0" borderId="0" xfId="0" applyNumberFormat="1" applyBorder="1" applyAlignment="1" applyProtection="1">
      <alignment wrapText="1"/>
      <protection hidden="1"/>
    </xf>
    <xf numFmtId="0" fontId="0" fillId="0" borderId="0" xfId="0" applyAlignment="1"/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vertical="center" wrapText="1"/>
      <protection hidden="1"/>
    </xf>
    <xf numFmtId="0" fontId="2" fillId="0" borderId="53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16" fillId="0" borderId="4" xfId="0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49" fontId="16" fillId="0" borderId="1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21" fillId="0" borderId="28" xfId="0" applyFont="1" applyBorder="1" applyAlignment="1" applyProtection="1">
      <alignment horizontal="center" vertical="center" wrapText="1"/>
    </xf>
    <xf numFmtId="0" fontId="21" fillId="0" borderId="54" xfId="0" applyFont="1" applyBorder="1" applyAlignment="1" applyProtection="1">
      <alignment horizontal="center" vertical="center" wrapText="1"/>
    </xf>
    <xf numFmtId="0" fontId="2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56" xfId="0" applyFill="1" applyBorder="1" applyAlignment="1">
      <alignment horizontal="center" wrapText="1"/>
    </xf>
    <xf numFmtId="0" fontId="0" fillId="5" borderId="57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</xf>
    <xf numFmtId="0" fontId="22" fillId="0" borderId="47" xfId="0" applyFont="1" applyBorder="1" applyAlignment="1" applyProtection="1">
      <alignment horizontal="center" textRotation="90"/>
    </xf>
    <xf numFmtId="0" fontId="22" fillId="0" borderId="21" xfId="0" applyFont="1" applyBorder="1" applyAlignment="1" applyProtection="1">
      <alignment horizontal="center" textRotation="90"/>
    </xf>
    <xf numFmtId="0" fontId="22" fillId="0" borderId="0" xfId="0" applyFont="1" applyBorder="1" applyAlignment="1" applyProtection="1">
      <alignment horizontal="center" textRotation="90"/>
    </xf>
    <xf numFmtId="0" fontId="2" fillId="0" borderId="0" xfId="0" applyFont="1" applyBorder="1" applyAlignment="1" applyProtection="1"/>
    <xf numFmtId="0" fontId="2" fillId="5" borderId="0" xfId="0" applyFont="1" applyFill="1" applyBorder="1" applyAlignment="1" applyProtection="1"/>
    <xf numFmtId="0" fontId="22" fillId="0" borderId="46" xfId="0" applyFont="1" applyBorder="1" applyAlignment="1" applyProtection="1">
      <alignment horizontal="center" textRotation="90"/>
    </xf>
    <xf numFmtId="0" fontId="22" fillId="0" borderId="14" xfId="0" applyFont="1" applyBorder="1" applyAlignment="1" applyProtection="1">
      <alignment horizontal="center" textRotation="90"/>
    </xf>
    <xf numFmtId="0" fontId="22" fillId="0" borderId="15" xfId="0" applyFont="1" applyBorder="1" applyAlignment="1" applyProtection="1">
      <alignment horizontal="center" textRotation="90"/>
    </xf>
    <xf numFmtId="0" fontId="53" fillId="5" borderId="0" xfId="0" applyFont="1" applyFill="1" applyBorder="1" applyAlignment="1" applyProtection="1">
      <alignment horizontal="left" vertical="center"/>
    </xf>
    <xf numFmtId="0" fontId="22" fillId="0" borderId="46" xfId="0" applyFont="1" applyBorder="1" applyAlignment="1" applyProtection="1">
      <alignment horizontal="center" vertical="center" textRotation="90"/>
    </xf>
    <xf numFmtId="0" fontId="22" fillId="0" borderId="14" xfId="0" applyFont="1" applyBorder="1" applyAlignment="1" applyProtection="1">
      <alignment horizontal="center" vertical="center" textRotation="90"/>
    </xf>
    <xf numFmtId="0" fontId="22" fillId="0" borderId="0" xfId="0" applyFont="1" applyBorder="1" applyAlignment="1" applyProtection="1">
      <alignment horizontal="center" vertical="center" textRotation="90"/>
    </xf>
    <xf numFmtId="0" fontId="22" fillId="0" borderId="15" xfId="0" applyFont="1" applyBorder="1" applyAlignment="1" applyProtection="1">
      <alignment horizontal="center" vertical="center" textRotation="90"/>
    </xf>
    <xf numFmtId="0" fontId="2" fillId="0" borderId="0" xfId="0" applyFont="1" applyBorder="1" applyAlignment="1" applyProtection="1">
      <alignment vertical="center"/>
    </xf>
    <xf numFmtId="0" fontId="20" fillId="0" borderId="21" xfId="0" applyFont="1" applyBorder="1" applyAlignment="1" applyProtection="1">
      <alignment horizontal="left"/>
    </xf>
    <xf numFmtId="0" fontId="20" fillId="0" borderId="23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/>
    </xf>
    <xf numFmtId="0" fontId="20" fillId="0" borderId="23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0" fillId="0" borderId="34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20" fillId="5" borderId="0" xfId="0" applyFont="1" applyFill="1" applyBorder="1" applyAlignment="1" applyProtection="1">
      <alignment horizontal="left" vertical="center"/>
    </xf>
    <xf numFmtId="0" fontId="20" fillId="0" borderId="23" xfId="0" applyFont="1" applyBorder="1" applyAlignment="1" applyProtection="1">
      <alignment horizontal="right" vertical="center"/>
    </xf>
    <xf numFmtId="0" fontId="20" fillId="0" borderId="23" xfId="0" applyFont="1" applyBorder="1" applyAlignment="1" applyProtection="1">
      <alignment horizontal="left" vertical="center"/>
    </xf>
    <xf numFmtId="0" fontId="20" fillId="0" borderId="23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23" xfId="0" applyNumberFormat="1" applyFont="1" applyBorder="1" applyAlignment="1" applyProtection="1">
      <alignment vertical="center"/>
    </xf>
    <xf numFmtId="0" fontId="20" fillId="0" borderId="23" xfId="0" applyNumberFormat="1" applyFont="1" applyBorder="1" applyAlignment="1" applyProtection="1">
      <alignment horizontal="left" vertical="center"/>
    </xf>
    <xf numFmtId="0" fontId="20" fillId="0" borderId="23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29" fillId="0" borderId="32" xfId="0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right" vertical="center"/>
    </xf>
    <xf numFmtId="0" fontId="29" fillId="0" borderId="32" xfId="0" applyNumberFormat="1" applyFont="1" applyBorder="1" applyAlignment="1" applyProtection="1">
      <alignment horizontal="center" vertical="center"/>
    </xf>
    <xf numFmtId="0" fontId="29" fillId="0" borderId="32" xfId="0" applyFont="1" applyBorder="1" applyAlignment="1" applyProtection="1">
      <alignment horizontal="left" vertical="center"/>
    </xf>
    <xf numFmtId="0" fontId="29" fillId="0" borderId="32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32" xfId="0" applyNumberFormat="1" applyFont="1" applyBorder="1" applyAlignment="1" applyProtection="1">
      <alignment vertical="center"/>
    </xf>
    <xf numFmtId="0" fontId="29" fillId="0" borderId="32" xfId="0" applyNumberFormat="1" applyFont="1" applyBorder="1" applyAlignment="1" applyProtection="1">
      <alignment horizontal="left" vertical="center"/>
    </xf>
    <xf numFmtId="0" fontId="29" fillId="0" borderId="32" xfId="0" applyNumberFormat="1" applyFont="1" applyBorder="1" applyAlignment="1" applyProtection="1">
      <alignment horizontal="right" vertical="center"/>
    </xf>
    <xf numFmtId="0" fontId="53" fillId="0" borderId="0" xfId="0" applyFont="1" applyBorder="1" applyAlignment="1" applyProtection="1">
      <alignment vertical="center"/>
    </xf>
    <xf numFmtId="0" fontId="20" fillId="0" borderId="58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right" vertical="center"/>
    </xf>
    <xf numFmtId="0" fontId="20" fillId="0" borderId="59" xfId="0" applyNumberFormat="1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left" vertical="center"/>
    </xf>
    <xf numFmtId="0" fontId="20" fillId="0" borderId="58" xfId="0" applyFont="1" applyBorder="1" applyAlignment="1" applyProtection="1">
      <alignment vertical="center"/>
    </xf>
    <xf numFmtId="0" fontId="20" fillId="0" borderId="10" xfId="0" applyNumberFormat="1" applyFont="1" applyBorder="1" applyAlignment="1" applyProtection="1">
      <alignment horizontal="center" vertical="center"/>
    </xf>
    <xf numFmtId="0" fontId="20" fillId="0" borderId="58" xfId="0" applyNumberFormat="1" applyFont="1" applyBorder="1" applyAlignment="1" applyProtection="1">
      <alignment vertical="center"/>
    </xf>
    <xf numFmtId="0" fontId="20" fillId="0" borderId="60" xfId="0" applyNumberFormat="1" applyFont="1" applyBorder="1" applyAlignment="1" applyProtection="1">
      <alignment horizontal="left" vertical="center"/>
    </xf>
    <xf numFmtId="0" fontId="20" fillId="0" borderId="58" xfId="0" applyNumberFormat="1" applyFont="1" applyBorder="1" applyAlignment="1" applyProtection="1">
      <alignment horizontal="right" vertical="center"/>
    </xf>
    <xf numFmtId="0" fontId="20" fillId="0" borderId="59" xfId="0" applyFont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vertical="center"/>
    </xf>
    <xf numFmtId="0" fontId="21" fillId="0" borderId="23" xfId="0" applyFont="1" applyBorder="1" applyAlignment="1" applyProtection="1">
      <alignment horizontal="left" vertical="center"/>
    </xf>
    <xf numFmtId="0" fontId="21" fillId="0" borderId="23" xfId="0" applyFont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left" vertical="center"/>
    </xf>
    <xf numFmtId="0" fontId="53" fillId="0" borderId="32" xfId="0" applyFont="1" applyBorder="1" applyAlignment="1" applyProtection="1">
      <alignment horizontal="center" vertical="center"/>
    </xf>
    <xf numFmtId="0" fontId="53" fillId="0" borderId="32" xfId="0" applyFont="1" applyBorder="1" applyAlignment="1" applyProtection="1">
      <alignment horizontal="right" vertical="center"/>
    </xf>
    <xf numFmtId="0" fontId="53" fillId="0" borderId="32" xfId="0" applyFont="1" applyBorder="1" applyAlignment="1" applyProtection="1">
      <alignment horizontal="left" vertical="center"/>
    </xf>
    <xf numFmtId="0" fontId="53" fillId="0" borderId="32" xfId="0" applyFont="1" applyBorder="1" applyAlignment="1" applyProtection="1">
      <alignment vertical="center"/>
    </xf>
    <xf numFmtId="0" fontId="53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20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vertical="center"/>
    </xf>
    <xf numFmtId="14" fontId="19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6" fillId="0" borderId="0" xfId="0" applyNumberFormat="1" applyFont="1" applyBorder="1" applyAlignment="1" applyProtection="1">
      <alignment horizontal="right" vertical="center"/>
    </xf>
    <xf numFmtId="1" fontId="6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5" fillId="4" borderId="55" xfId="0" applyFont="1" applyFill="1" applyBorder="1" applyAlignment="1" applyProtection="1">
      <alignment vertical="center" wrapText="1"/>
      <protection hidden="1"/>
    </xf>
    <xf numFmtId="0" fontId="25" fillId="4" borderId="55" xfId="0" applyFont="1" applyFill="1" applyBorder="1" applyAlignment="1" applyProtection="1">
      <alignment horizontal="center" vertical="center" wrapText="1"/>
      <protection hidden="1"/>
    </xf>
    <xf numFmtId="0" fontId="21" fillId="2" borderId="47" xfId="0" applyFont="1" applyFill="1" applyBorder="1" applyAlignment="1" applyProtection="1">
      <alignment horizontal="center" vertical="center" wrapText="1"/>
    </xf>
    <xf numFmtId="0" fontId="21" fillId="2" borderId="21" xfId="0" applyFont="1" applyFill="1" applyBorder="1" applyAlignment="1" applyProtection="1">
      <alignment horizontal="center" vertical="center" wrapText="1"/>
    </xf>
    <xf numFmtId="0" fontId="21" fillId="2" borderId="51" xfId="0" applyFont="1" applyFill="1" applyBorder="1" applyAlignment="1" applyProtection="1">
      <alignment horizontal="center" vertical="center" wrapText="1"/>
    </xf>
    <xf numFmtId="0" fontId="0" fillId="9" borderId="49" xfId="0" applyFill="1" applyBorder="1" applyAlignment="1" applyProtection="1">
      <alignment horizontal="center" wrapText="1"/>
      <protection hidden="1"/>
    </xf>
    <xf numFmtId="0" fontId="0" fillId="0" borderId="49" xfId="0" applyFill="1" applyBorder="1" applyAlignment="1" applyProtection="1">
      <alignment horizontal="center" wrapText="1"/>
      <protection hidden="1"/>
    </xf>
    <xf numFmtId="0" fontId="0" fillId="0" borderId="52" xfId="0" applyFill="1" applyBorder="1" applyAlignment="1" applyProtection="1">
      <alignment horizontal="center" wrapText="1"/>
      <protection hidden="1"/>
    </xf>
    <xf numFmtId="0" fontId="0" fillId="9" borderId="61" xfId="0" applyFill="1" applyBorder="1" applyAlignment="1" applyProtection="1">
      <alignment horizontal="center" wrapText="1"/>
      <protection hidden="1"/>
    </xf>
    <xf numFmtId="0" fontId="0" fillId="0" borderId="61" xfId="0" applyFill="1" applyBorder="1" applyAlignment="1" applyProtection="1">
      <alignment horizontal="center" wrapText="1"/>
      <protection hidden="1"/>
    </xf>
    <xf numFmtId="0" fontId="0" fillId="0" borderId="53" xfId="0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wrapText="1"/>
      <protection locked="0" hidden="1"/>
    </xf>
    <xf numFmtId="0" fontId="54" fillId="0" borderId="0" xfId="0" applyFont="1" applyFill="1" applyAlignment="1" applyProtection="1">
      <alignment horizontal="center" vertical="center" wrapText="1"/>
    </xf>
    <xf numFmtId="0" fontId="51" fillId="4" borderId="34" xfId="0" applyFont="1" applyFill="1" applyBorder="1" applyAlignment="1" applyProtection="1">
      <alignment horizontal="left"/>
      <protection locked="0"/>
    </xf>
    <xf numFmtId="0" fontId="51" fillId="4" borderId="32" xfId="0" applyFont="1" applyFill="1" applyBorder="1" applyAlignment="1" applyProtection="1">
      <alignment horizontal="left"/>
      <protection locked="0"/>
    </xf>
    <xf numFmtId="0" fontId="51" fillId="4" borderId="32" xfId="0" applyFont="1" applyFill="1" applyBorder="1" applyAlignment="1">
      <alignment horizontal="left"/>
    </xf>
    <xf numFmtId="0" fontId="0" fillId="0" borderId="62" xfId="0" applyBorder="1" applyAlignment="1">
      <alignment horizontal="center"/>
    </xf>
    <xf numFmtId="0" fontId="11" fillId="0" borderId="43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1" fontId="48" fillId="10" borderId="56" xfId="0" applyNumberFormat="1" applyFont="1" applyFill="1" applyBorder="1" applyAlignment="1" applyProtection="1">
      <alignment horizontal="right" vertical="center" shrinkToFit="1"/>
      <protection hidden="1"/>
    </xf>
    <xf numFmtId="1" fontId="48" fillId="10" borderId="31" xfId="0" applyNumberFormat="1" applyFont="1" applyFill="1" applyBorder="1" applyAlignment="1" applyProtection="1">
      <alignment horizontal="right" vertical="center" shrinkToFit="1"/>
      <protection hidden="1"/>
    </xf>
    <xf numFmtId="0" fontId="40" fillId="10" borderId="55" xfId="0" applyFont="1" applyFill="1" applyBorder="1" applyAlignment="1" applyProtection="1">
      <alignment horizontal="center" vertical="center" wrapText="1"/>
      <protection hidden="1"/>
    </xf>
    <xf numFmtId="0" fontId="40" fillId="10" borderId="56" xfId="0" applyFont="1" applyFill="1" applyBorder="1" applyAlignment="1" applyProtection="1">
      <alignment horizontal="center" vertical="center" wrapText="1"/>
      <protection hidden="1"/>
    </xf>
    <xf numFmtId="0" fontId="40" fillId="10" borderId="61" xfId="0" applyFont="1" applyFill="1" applyBorder="1" applyAlignment="1" applyProtection="1">
      <alignment horizontal="center" vertical="center" wrapText="1"/>
      <protection hidden="1"/>
    </xf>
    <xf numFmtId="0" fontId="40" fillId="10" borderId="31" xfId="0" applyFont="1" applyFill="1" applyBorder="1" applyAlignment="1" applyProtection="1">
      <alignment horizontal="center" vertical="center" wrapText="1"/>
      <protection hidden="1"/>
    </xf>
    <xf numFmtId="1" fontId="48" fillId="10" borderId="56" xfId="0" applyNumberFormat="1" applyFont="1" applyFill="1" applyBorder="1" applyAlignment="1" applyProtection="1">
      <alignment horizontal="left" vertical="center" shrinkToFit="1"/>
      <protection hidden="1"/>
    </xf>
    <xf numFmtId="1" fontId="48" fillId="10" borderId="57" xfId="0" applyNumberFormat="1" applyFont="1" applyFill="1" applyBorder="1" applyAlignment="1" applyProtection="1">
      <alignment horizontal="left" vertical="center" shrinkToFit="1"/>
      <protection hidden="1"/>
    </xf>
    <xf numFmtId="1" fontId="48" fillId="10" borderId="31" xfId="0" applyNumberFormat="1" applyFont="1" applyFill="1" applyBorder="1" applyAlignment="1" applyProtection="1">
      <alignment horizontal="left" vertical="center" shrinkToFit="1"/>
      <protection hidden="1"/>
    </xf>
    <xf numFmtId="1" fontId="48" fillId="10" borderId="63" xfId="0" applyNumberFormat="1" applyFont="1" applyFill="1" applyBorder="1" applyAlignment="1" applyProtection="1">
      <alignment horizontal="left" vertical="center" shrinkToFit="1"/>
      <protection hidden="1"/>
    </xf>
    <xf numFmtId="0" fontId="48" fillId="10" borderId="56" xfId="0" applyFont="1" applyFill="1" applyBorder="1" applyAlignment="1" applyProtection="1">
      <alignment horizontal="center" vertical="center"/>
      <protection hidden="1"/>
    </xf>
    <xf numFmtId="0" fontId="50" fillId="0" borderId="31" xfId="0" applyFont="1" applyBorder="1" applyProtection="1"/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36" xfId="0" applyFont="1" applyBorder="1" applyAlignment="1" applyProtection="1">
      <alignment horizontal="center" vertical="center" wrapText="1"/>
      <protection hidden="1"/>
    </xf>
    <xf numFmtId="0" fontId="21" fillId="0" borderId="37" xfId="0" applyFont="1" applyBorder="1" applyAlignment="1" applyProtection="1">
      <alignment horizontal="center" vertical="center" wrapText="1"/>
      <protection hidden="1"/>
    </xf>
    <xf numFmtId="0" fontId="0" fillId="0" borderId="64" xfId="0" applyFill="1" applyBorder="1" applyAlignment="1" applyProtection="1">
      <alignment horizontal="center" vertical="center" wrapText="1"/>
      <protection locked="0" hidden="1"/>
    </xf>
    <xf numFmtId="0" fontId="0" fillId="0" borderId="65" xfId="0" applyFill="1" applyBorder="1" applyAlignment="1" applyProtection="1">
      <alignment horizontal="center" vertical="center" wrapText="1"/>
      <protection locked="0" hidden="1"/>
    </xf>
    <xf numFmtId="0" fontId="0" fillId="0" borderId="66" xfId="0" applyFill="1" applyBorder="1" applyAlignment="1" applyProtection="1">
      <alignment horizontal="center" vertical="center" wrapText="1"/>
      <protection locked="0" hidden="1"/>
    </xf>
    <xf numFmtId="0" fontId="0" fillId="0" borderId="67" xfId="0" applyFill="1" applyBorder="1" applyAlignment="1" applyProtection="1">
      <alignment horizontal="center" vertical="center" wrapText="1"/>
      <protection locked="0" hidden="1"/>
    </xf>
    <xf numFmtId="0" fontId="0" fillId="0" borderId="31" xfId="0" applyFill="1" applyBorder="1" applyAlignment="1" applyProtection="1">
      <alignment horizontal="center" vertical="center" wrapText="1"/>
      <protection locked="0" hidden="1"/>
    </xf>
    <xf numFmtId="0" fontId="0" fillId="0" borderId="68" xfId="0" applyFill="1" applyBorder="1" applyAlignment="1" applyProtection="1">
      <alignment horizontal="center" vertical="center" wrapText="1"/>
      <protection locked="0" hidden="1"/>
    </xf>
    <xf numFmtId="0" fontId="18" fillId="0" borderId="58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0" fillId="8" borderId="0" xfId="0" applyNumberForma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/>
      <protection locked="0" hidden="1"/>
    </xf>
    <xf numFmtId="0" fontId="28" fillId="0" borderId="0" xfId="0" applyFont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9" fillId="0" borderId="21" xfId="0" applyFont="1" applyFill="1" applyBorder="1" applyAlignment="1" applyProtection="1">
      <alignment horizontal="center" vertical="center" wrapText="1"/>
      <protection hidden="1"/>
    </xf>
    <xf numFmtId="0" fontId="19" fillId="0" borderId="23" xfId="0" applyFont="1" applyFill="1" applyBorder="1" applyAlignment="1" applyProtection="1">
      <alignment horizontal="center" vertical="center" wrapText="1"/>
      <protection hidden="1"/>
    </xf>
    <xf numFmtId="0" fontId="19" fillId="0" borderId="22" xfId="0" applyFont="1" applyFill="1" applyBorder="1" applyAlignment="1" applyProtection="1">
      <alignment horizontal="center" vertical="center" wrapText="1"/>
      <protection hidden="1"/>
    </xf>
    <xf numFmtId="0" fontId="19" fillId="0" borderId="67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Fill="1" applyBorder="1" applyAlignment="1" applyProtection="1">
      <alignment horizontal="center" vertical="center" wrapText="1"/>
      <protection hidden="1"/>
    </xf>
    <xf numFmtId="0" fontId="19" fillId="0" borderId="68" xfId="0" applyFont="1" applyFill="1" applyBorder="1" applyAlignment="1" applyProtection="1">
      <alignment horizontal="center" vertical="center" wrapText="1"/>
      <protection hidden="1"/>
    </xf>
    <xf numFmtId="0" fontId="18" fillId="0" borderId="64" xfId="0" applyFont="1" applyBorder="1" applyAlignment="1" applyProtection="1">
      <alignment horizontal="center" vertical="center" wrapTex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9" fillId="0" borderId="91" xfId="0" applyFont="1" applyFill="1" applyBorder="1" applyAlignment="1" applyProtection="1">
      <alignment horizontal="center" vertical="center" wrapText="1"/>
      <protection hidden="1"/>
    </xf>
    <xf numFmtId="0" fontId="19" fillId="0" borderId="65" xfId="0" applyFont="1" applyFill="1" applyBorder="1" applyAlignment="1" applyProtection="1">
      <alignment horizontal="center" vertical="center" wrapText="1"/>
      <protection hidden="1"/>
    </xf>
    <xf numFmtId="0" fontId="19" fillId="0" borderId="66" xfId="0" applyFont="1" applyFill="1" applyBorder="1" applyAlignment="1" applyProtection="1">
      <alignment horizontal="center" vertical="center" wrapText="1"/>
      <protection hidden="1"/>
    </xf>
    <xf numFmtId="0" fontId="19" fillId="0" borderId="61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32" xfId="0" applyBorder="1" applyAlignment="1" applyProtection="1">
      <alignment horizontal="center" wrapText="1"/>
      <protection locked="0" hidden="1"/>
    </xf>
    <xf numFmtId="0" fontId="19" fillId="0" borderId="0" xfId="0" applyFont="1" applyBorder="1" applyAlignment="1" applyProtection="1">
      <alignment horizontal="left" wrapText="1"/>
      <protection hidden="1"/>
    </xf>
    <xf numFmtId="0" fontId="8" fillId="0" borderId="0" xfId="0" applyFont="1" applyBorder="1" applyAlignment="1" applyProtection="1">
      <alignment horizontal="left" wrapText="1"/>
      <protection locked="0" hidden="1"/>
    </xf>
    <xf numFmtId="0" fontId="0" fillId="0" borderId="21" xfId="0" applyFill="1" applyBorder="1" applyAlignment="1" applyProtection="1">
      <alignment horizontal="center" vertical="center" wrapText="1"/>
      <protection locked="0" hidden="1"/>
    </xf>
    <xf numFmtId="0" fontId="0" fillId="0" borderId="23" xfId="0" applyFill="1" applyBorder="1" applyAlignment="1" applyProtection="1">
      <alignment horizontal="center" vertical="center" wrapText="1"/>
      <protection locked="0" hidden="1"/>
    </xf>
    <xf numFmtId="0" fontId="0" fillId="0" borderId="22" xfId="0" applyFill="1" applyBorder="1" applyAlignment="1" applyProtection="1">
      <alignment horizontal="center" vertical="center" wrapText="1"/>
      <protection locked="0" hidden="1"/>
    </xf>
    <xf numFmtId="0" fontId="19" fillId="0" borderId="78" xfId="0" applyFont="1" applyBorder="1" applyAlignment="1" applyProtection="1">
      <alignment horizontal="center" vertical="center" wrapText="1"/>
      <protection hidden="1"/>
    </xf>
    <xf numFmtId="0" fontId="19" fillId="0" borderId="76" xfId="0" applyFont="1" applyBorder="1" applyAlignment="1" applyProtection="1">
      <alignment horizontal="center" vertical="center" wrapText="1"/>
      <protection hidden="1"/>
    </xf>
    <xf numFmtId="0" fontId="19" fillId="0" borderId="79" xfId="0" applyFont="1" applyBorder="1" applyAlignment="1" applyProtection="1">
      <alignment horizontal="center" vertical="center" wrapText="1"/>
      <protection hidden="1"/>
    </xf>
    <xf numFmtId="0" fontId="16" fillId="0" borderId="71" xfId="0" applyFont="1" applyBorder="1" applyAlignment="1" applyProtection="1">
      <alignment horizontal="left" vertical="center" wrapText="1"/>
      <protection hidden="1"/>
    </xf>
    <xf numFmtId="0" fontId="16" fillId="0" borderId="79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locked="0" hidden="1"/>
    </xf>
    <xf numFmtId="0" fontId="25" fillId="0" borderId="72" xfId="0" applyFont="1" applyBorder="1" applyAlignment="1" applyProtection="1">
      <alignment horizontal="left" vertical="center" shrinkToFit="1"/>
      <protection hidden="1"/>
    </xf>
    <xf numFmtId="0" fontId="25" fillId="0" borderId="73" xfId="0" applyFont="1" applyBorder="1" applyAlignment="1" applyProtection="1">
      <alignment horizontal="left" vertical="center" shrinkToFit="1"/>
      <protection hidden="1"/>
    </xf>
    <xf numFmtId="0" fontId="25" fillId="0" borderId="74" xfId="0" applyFont="1" applyBorder="1" applyAlignment="1" applyProtection="1">
      <alignment horizontal="left" vertical="center" shrinkToFit="1"/>
      <protection hidden="1"/>
    </xf>
    <xf numFmtId="0" fontId="25" fillId="0" borderId="75" xfId="0" applyFont="1" applyBorder="1" applyAlignment="1" applyProtection="1">
      <alignment horizontal="left" vertical="center" shrinkToFit="1"/>
      <protection hidden="1"/>
    </xf>
    <xf numFmtId="0" fontId="0" fillId="0" borderId="23" xfId="0" applyBorder="1" applyAlignment="1" applyProtection="1">
      <alignment horizontal="center" wrapText="1"/>
      <protection hidden="1"/>
    </xf>
    <xf numFmtId="0" fontId="11" fillId="0" borderId="106" xfId="0" applyFont="1" applyBorder="1" applyAlignment="1" applyProtection="1">
      <alignment horizontal="center" vertical="center"/>
      <protection hidden="1"/>
    </xf>
    <xf numFmtId="0" fontId="11" fillId="0" borderId="107" xfId="0" applyFont="1" applyBorder="1" applyAlignment="1" applyProtection="1">
      <alignment horizontal="center" vertical="center"/>
      <protection hidden="1"/>
    </xf>
    <xf numFmtId="49" fontId="0" fillId="0" borderId="47" xfId="0" applyNumberFormat="1" applyBorder="1" applyAlignment="1" applyProtection="1">
      <alignment horizontal="center" vertical="center" wrapText="1"/>
      <protection locked="0" hidden="1"/>
    </xf>
    <xf numFmtId="49" fontId="0" fillId="0" borderId="4" xfId="0" applyNumberFormat="1" applyBorder="1" applyAlignment="1" applyProtection="1">
      <alignment horizontal="center" vertical="center" wrapText="1"/>
      <protection locked="0" hidden="1"/>
    </xf>
    <xf numFmtId="49" fontId="2" fillId="0" borderId="109" xfId="0" applyNumberFormat="1" applyFont="1" applyBorder="1" applyAlignment="1" applyProtection="1">
      <alignment horizontal="center" vertical="center" wrapText="1"/>
      <protection locked="0" hidden="1"/>
    </xf>
    <xf numFmtId="49" fontId="2" fillId="0" borderId="110" xfId="0" applyNumberFormat="1" applyFont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108" xfId="0" applyFont="1" applyBorder="1" applyAlignment="1" applyProtection="1">
      <alignment horizontal="center" vertical="center"/>
      <protection hidden="1"/>
    </xf>
    <xf numFmtId="49" fontId="0" fillId="0" borderId="21" xfId="0" applyNumberFormat="1" applyBorder="1" applyAlignment="1" applyProtection="1">
      <alignment horizontal="center" vertical="center" wrapText="1"/>
      <protection locked="0" hidden="1"/>
    </xf>
    <xf numFmtId="49" fontId="0" fillId="0" borderId="34" xfId="0" applyNumberFormat="1" applyBorder="1" applyAlignment="1" applyProtection="1">
      <alignment horizontal="center" vertical="center" wrapText="1"/>
      <protection locked="0"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15" xfId="0" applyFont="1" applyFill="1" applyBorder="1" applyAlignment="1" applyProtection="1">
      <alignment horizontal="center" vertical="center"/>
      <protection hidden="1"/>
    </xf>
    <xf numFmtId="0" fontId="7" fillId="0" borderId="82" xfId="0" applyFont="1" applyFill="1" applyBorder="1" applyAlignment="1" applyProtection="1">
      <alignment horizontal="center" vertical="center"/>
      <protection hidden="1"/>
    </xf>
    <xf numFmtId="0" fontId="7" fillId="0" borderId="31" xfId="0" applyFont="1" applyFill="1" applyBorder="1" applyAlignment="1" applyProtection="1">
      <alignment horizontal="center" vertical="center"/>
      <protection hidden="1"/>
    </xf>
    <xf numFmtId="0" fontId="7" fillId="0" borderId="68" xfId="0" applyFont="1" applyFill="1" applyBorder="1" applyAlignment="1" applyProtection="1">
      <alignment horizontal="center" vertical="center"/>
      <protection hidden="1"/>
    </xf>
    <xf numFmtId="0" fontId="7" fillId="0" borderId="83" xfId="0" applyFont="1" applyFill="1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center" vertical="center"/>
      <protection hidden="1"/>
    </xf>
    <xf numFmtId="0" fontId="7" fillId="0" borderId="66" xfId="0" applyFont="1" applyFill="1" applyBorder="1" applyAlignment="1" applyProtection="1">
      <alignment horizontal="center" vertical="center"/>
      <protection hidden="1"/>
    </xf>
    <xf numFmtId="0" fontId="7" fillId="0" borderId="84" xfId="0" applyFont="1" applyFill="1" applyBorder="1" applyAlignment="1" applyProtection="1">
      <alignment horizontal="center" vertical="center"/>
      <protection hidden="1"/>
    </xf>
    <xf numFmtId="0" fontId="7" fillId="0" borderId="32" xfId="0" applyFont="1" applyFill="1" applyBorder="1" applyAlignment="1" applyProtection="1">
      <alignment horizontal="center" vertical="center"/>
      <protection hidden="1"/>
    </xf>
    <xf numFmtId="0" fontId="7" fillId="0" borderId="33" xfId="0" applyFont="1" applyFill="1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horizontal="center" vertical="center" wrapText="1"/>
      <protection locked="0" hidden="1"/>
    </xf>
    <xf numFmtId="0" fontId="0" fillId="0" borderId="86" xfId="0" applyBorder="1" applyAlignment="1" applyProtection="1">
      <alignment horizontal="center" vertical="center" wrapText="1"/>
      <protection locked="0"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81" xfId="0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77" xfId="0" applyFont="1" applyBorder="1" applyAlignment="1" applyProtection="1">
      <alignment horizontal="center" vertical="center" wrapText="1"/>
      <protection hidden="1"/>
    </xf>
    <xf numFmtId="0" fontId="3" fillId="0" borderId="76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92" xfId="0" applyBorder="1" applyAlignment="1" applyProtection="1">
      <alignment horizontal="center" vertical="center" wrapText="1"/>
      <protection hidden="1"/>
    </xf>
    <xf numFmtId="0" fontId="0" fillId="0" borderId="93" xfId="0" applyBorder="1" applyAlignment="1" applyProtection="1">
      <alignment horizontal="center" vertical="center" wrapText="1"/>
      <protection hidden="1"/>
    </xf>
    <xf numFmtId="0" fontId="0" fillId="0" borderId="94" xfId="0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86" xfId="0" applyFont="1" applyBorder="1" applyAlignment="1" applyProtection="1">
      <alignment horizontal="center" vertical="center" wrapText="1"/>
      <protection hidden="1"/>
    </xf>
    <xf numFmtId="0" fontId="7" fillId="0" borderId="77" xfId="0" applyFont="1" applyBorder="1" applyAlignment="1" applyProtection="1">
      <alignment horizontal="center" vertical="center" wrapText="1"/>
      <protection hidden="1"/>
    </xf>
    <xf numFmtId="0" fontId="7" fillId="0" borderId="76" xfId="0" applyFont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center" vertical="center" wrapText="1"/>
      <protection hidden="1"/>
    </xf>
    <xf numFmtId="1" fontId="16" fillId="0" borderId="70" xfId="0" applyNumberFormat="1" applyFont="1" applyBorder="1" applyAlignment="1" applyProtection="1">
      <alignment horizontal="right" vertical="center"/>
      <protection hidden="1"/>
    </xf>
    <xf numFmtId="1" fontId="16" fillId="0" borderId="77" xfId="0" applyNumberFormat="1" applyFont="1" applyBorder="1" applyAlignment="1" applyProtection="1">
      <alignment horizontal="right" vertical="center"/>
      <protection hidden="1"/>
    </xf>
    <xf numFmtId="0" fontId="16" fillId="0" borderId="56" xfId="0" applyFont="1" applyBorder="1" applyAlignment="1" applyProtection="1">
      <alignment horizontal="center" vertical="center" wrapText="1"/>
      <protection hidden="1"/>
    </xf>
    <xf numFmtId="0" fontId="16" fillId="0" borderId="76" xfId="0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15" xfId="0" applyFont="1" applyBorder="1" applyAlignment="1" applyProtection="1">
      <alignment horizontal="center" vertical="center" wrapText="1"/>
      <protection hidden="1"/>
    </xf>
    <xf numFmtId="20" fontId="4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20" fontId="4" fillId="0" borderId="89" xfId="0" applyNumberFormat="1" applyFont="1" applyFill="1" applyBorder="1" applyAlignment="1" applyProtection="1">
      <alignment horizontal="center" vertical="center" wrapText="1"/>
      <protection locked="0" hidden="1"/>
    </xf>
    <xf numFmtId="20" fontId="4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20" fontId="4" fillId="0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69" xfId="0" applyFont="1" applyFill="1" applyBorder="1" applyAlignment="1" applyProtection="1">
      <alignment horizontal="center" vertical="center" wrapText="1"/>
      <protection hidden="1"/>
    </xf>
    <xf numFmtId="0" fontId="19" fillId="0" borderId="32" xfId="0" applyFont="1" applyFill="1" applyBorder="1" applyAlignment="1" applyProtection="1">
      <alignment horizontal="center" vertical="center" wrapText="1"/>
      <protection hidden="1"/>
    </xf>
    <xf numFmtId="0" fontId="19" fillId="0" borderId="33" xfId="0" applyFont="1" applyFill="1" applyBorder="1" applyAlignment="1" applyProtection="1">
      <alignment horizontal="center" vertical="center" wrapText="1"/>
      <protection hidden="1"/>
    </xf>
    <xf numFmtId="0" fontId="0" fillId="0" borderId="70" xfId="0" applyFill="1" applyBorder="1" applyAlignment="1" applyProtection="1">
      <alignment horizontal="center" vertical="center" wrapText="1"/>
      <protection locked="0" hidden="1"/>
    </xf>
    <xf numFmtId="0" fontId="0" fillId="0" borderId="56" xfId="0" applyFill="1" applyBorder="1" applyAlignment="1" applyProtection="1">
      <alignment horizontal="center" vertical="center" wrapText="1"/>
      <protection locked="0" hidden="1"/>
    </xf>
    <xf numFmtId="0" fontId="0" fillId="0" borderId="71" xfId="0" applyFill="1" applyBorder="1" applyAlignment="1" applyProtection="1">
      <alignment horizontal="center" vertical="center" wrapText="1"/>
      <protection locked="0" hidden="1"/>
    </xf>
    <xf numFmtId="0" fontId="0" fillId="0" borderId="34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33" xfId="0" applyFill="1" applyBorder="1" applyAlignment="1" applyProtection="1">
      <alignment horizontal="center" vertical="center" wrapText="1"/>
      <protection locked="0" hidden="1"/>
    </xf>
    <xf numFmtId="1" fontId="16" fillId="0" borderId="71" xfId="0" applyNumberFormat="1" applyFont="1" applyBorder="1" applyAlignment="1" applyProtection="1">
      <alignment horizontal="left" vertical="center"/>
      <protection hidden="1"/>
    </xf>
    <xf numFmtId="1" fontId="16" fillId="0" borderId="79" xfId="0" applyNumberFormat="1" applyFont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 applyProtection="1">
      <alignment horizontal="center" vertical="center" wrapText="1"/>
      <protection locked="0" hidden="1"/>
    </xf>
    <xf numFmtId="0" fontId="0" fillId="0" borderId="15" xfId="0" applyFill="1" applyBorder="1" applyAlignment="1" applyProtection="1">
      <alignment horizontal="center" vertical="center" wrapText="1"/>
      <protection locked="0" hidden="1"/>
    </xf>
    <xf numFmtId="0" fontId="0" fillId="0" borderId="80" xfId="0" applyBorder="1" applyAlignment="1" applyProtection="1">
      <alignment horizontal="center" vertical="center" wrapText="1"/>
      <protection locked="0" hidden="1"/>
    </xf>
    <xf numFmtId="0" fontId="0" fillId="0" borderId="81" xfId="0" applyBorder="1" applyAlignment="1" applyProtection="1">
      <alignment horizontal="center" vertical="center" wrapText="1"/>
      <protection locked="0" hidden="1"/>
    </xf>
    <xf numFmtId="0" fontId="19" fillId="0" borderId="2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15" xfId="0" applyFont="1" applyFill="1" applyBorder="1" applyAlignment="1" applyProtection="1">
      <alignment horizontal="center" vertical="center"/>
      <protection hidden="1"/>
    </xf>
    <xf numFmtId="0" fontId="19" fillId="0" borderId="84" xfId="0" applyFont="1" applyFill="1" applyBorder="1" applyAlignment="1" applyProtection="1">
      <alignment horizontal="center" vertical="center" wrapText="1"/>
      <protection hidden="1"/>
    </xf>
    <xf numFmtId="0" fontId="25" fillId="0" borderId="58" xfId="0" applyFont="1" applyBorder="1" applyAlignment="1" applyProtection="1">
      <alignment horizontal="left" vertical="center" shrinkToFit="1"/>
      <protection hidden="1"/>
    </xf>
    <xf numFmtId="0" fontId="25" fillId="0" borderId="59" xfId="0" applyFont="1" applyBorder="1" applyAlignment="1" applyProtection="1">
      <alignment horizontal="left" vertical="center" shrinkToFit="1"/>
      <protection hidden="1"/>
    </xf>
    <xf numFmtId="0" fontId="25" fillId="0" borderId="54" xfId="0" applyFont="1" applyBorder="1" applyAlignment="1" applyProtection="1">
      <alignment horizontal="left" vertical="center" shrinkToFit="1"/>
      <protection hidden="1"/>
    </xf>
    <xf numFmtId="0" fontId="25" fillId="0" borderId="60" xfId="0" applyFont="1" applyBorder="1" applyAlignment="1" applyProtection="1">
      <alignment horizontal="left" vertical="center" shrinkToFit="1"/>
      <protection hidden="1"/>
    </xf>
    <xf numFmtId="0" fontId="47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99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/>
      <protection hidden="1"/>
    </xf>
    <xf numFmtId="0" fontId="25" fillId="0" borderId="58" xfId="0" applyFont="1" applyFill="1" applyBorder="1" applyAlignment="1" applyProtection="1">
      <alignment vertical="center" shrinkToFit="1"/>
      <protection locked="0" hidden="1"/>
    </xf>
    <xf numFmtId="0" fontId="25" fillId="0" borderId="59" xfId="0" applyFont="1" applyFill="1" applyBorder="1" applyAlignment="1" applyProtection="1">
      <alignment vertical="center" shrinkToFit="1"/>
      <protection locked="0" hidden="1"/>
    </xf>
    <xf numFmtId="0" fontId="25" fillId="0" borderId="60" xfId="0" applyFont="1" applyFill="1" applyBorder="1" applyAlignment="1" applyProtection="1">
      <alignment vertical="center" shrinkToFit="1"/>
      <protection locked="0" hidden="1"/>
    </xf>
    <xf numFmtId="0" fontId="25" fillId="0" borderId="16" xfId="0" applyFont="1" applyFill="1" applyBorder="1" applyAlignment="1" applyProtection="1">
      <alignment vertical="center" shrinkToFit="1"/>
      <protection locked="0" hidden="1"/>
    </xf>
    <xf numFmtId="0" fontId="25" fillId="0" borderId="17" xfId="0" applyFont="1" applyFill="1" applyBorder="1" applyAlignment="1" applyProtection="1">
      <alignment vertical="center" shrinkToFit="1"/>
      <protection locked="0" hidden="1"/>
    </xf>
    <xf numFmtId="0" fontId="25" fillId="0" borderId="98" xfId="0" applyFont="1" applyFill="1" applyBorder="1" applyAlignment="1" applyProtection="1">
      <alignment vertical="center" shrinkToFit="1"/>
      <protection locked="0" hidden="1"/>
    </xf>
    <xf numFmtId="0" fontId="25" fillId="0" borderId="25" xfId="0" applyFont="1" applyBorder="1" applyAlignment="1" applyProtection="1">
      <alignment horizontal="left" vertical="center" shrinkToFit="1"/>
      <protection hidden="1"/>
    </xf>
    <xf numFmtId="0" fontId="52" fillId="0" borderId="27" xfId="0" applyFont="1" applyBorder="1" applyAlignment="1" applyProtection="1">
      <alignment shrinkToFit="1"/>
    </xf>
    <xf numFmtId="0" fontId="52" fillId="0" borderId="100" xfId="0" applyFont="1" applyBorder="1" applyAlignment="1" applyProtection="1">
      <alignment shrinkToFit="1"/>
    </xf>
    <xf numFmtId="0" fontId="25" fillId="0" borderId="54" xfId="0" applyFont="1" applyFill="1" applyBorder="1" applyAlignment="1" applyProtection="1">
      <alignment vertical="center" shrinkToFit="1"/>
      <protection locked="0" hidden="1"/>
    </xf>
    <xf numFmtId="0" fontId="25" fillId="0" borderId="19" xfId="0" applyFont="1" applyFill="1" applyBorder="1" applyAlignment="1" applyProtection="1">
      <alignment vertical="center" shrinkToFit="1"/>
      <protection locked="0" hidden="1"/>
    </xf>
    <xf numFmtId="0" fontId="19" fillId="0" borderId="96" xfId="0" applyFont="1" applyFill="1" applyBorder="1" applyAlignment="1" applyProtection="1">
      <alignment horizontal="center" vertical="center"/>
      <protection hidden="1"/>
    </xf>
    <xf numFmtId="0" fontId="19" fillId="0" borderId="84" xfId="0" applyFont="1" applyFill="1" applyBorder="1" applyAlignment="1" applyProtection="1">
      <alignment horizontal="center" vertical="center"/>
      <protection hidden="1"/>
    </xf>
    <xf numFmtId="0" fontId="47" fillId="0" borderId="102" xfId="0" applyNumberFormat="1" applyFont="1" applyFill="1" applyBorder="1" applyAlignment="1" applyProtection="1">
      <alignment horizontal="center" vertical="center" wrapText="1"/>
      <protection hidden="1"/>
    </xf>
    <xf numFmtId="0" fontId="47" fillId="0" borderId="70" xfId="0" applyFont="1" applyFill="1" applyBorder="1" applyAlignment="1" applyProtection="1">
      <alignment vertical="center" wrapText="1"/>
      <protection locked="0" hidden="1"/>
    </xf>
    <xf numFmtId="0" fontId="47" fillId="0" borderId="56" xfId="0" applyFont="1" applyFill="1" applyBorder="1" applyAlignment="1" applyProtection="1">
      <alignment vertical="center" wrapText="1"/>
      <protection locked="0" hidden="1"/>
    </xf>
    <xf numFmtId="0" fontId="47" fillId="0" borderId="57" xfId="0" applyFont="1" applyFill="1" applyBorder="1" applyAlignment="1" applyProtection="1">
      <alignment vertical="center" wrapText="1"/>
      <protection locked="0" hidden="1"/>
    </xf>
    <xf numFmtId="0" fontId="47" fillId="0" borderId="34" xfId="0" applyFont="1" applyFill="1" applyBorder="1" applyAlignment="1" applyProtection="1">
      <alignment vertical="center" wrapText="1"/>
      <protection locked="0" hidden="1"/>
    </xf>
    <xf numFmtId="0" fontId="47" fillId="0" borderId="32" xfId="0" applyFont="1" applyFill="1" applyBorder="1" applyAlignment="1" applyProtection="1">
      <alignment vertical="center" wrapText="1"/>
      <protection locked="0" hidden="1"/>
    </xf>
    <xf numFmtId="0" fontId="47" fillId="0" borderId="88" xfId="0" applyFont="1" applyFill="1" applyBorder="1" applyAlignment="1" applyProtection="1">
      <alignment vertical="center" wrapText="1"/>
      <protection locked="0" hidden="1"/>
    </xf>
    <xf numFmtId="0" fontId="19" fillId="0" borderId="49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locked="0" hidden="1"/>
    </xf>
    <xf numFmtId="20" fontId="4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20" fontId="4" fillId="0" borderId="22" xfId="0" applyNumberFormat="1" applyFont="1" applyFill="1" applyBorder="1" applyAlignment="1" applyProtection="1">
      <alignment horizontal="center" vertical="center" wrapText="1"/>
      <protection locked="0" hidden="1"/>
    </xf>
    <xf numFmtId="20" fontId="4" fillId="0" borderId="67" xfId="0" applyNumberFormat="1" applyFont="1" applyFill="1" applyBorder="1" applyAlignment="1" applyProtection="1">
      <alignment horizontal="center" vertical="center" wrapText="1"/>
      <protection locked="0" hidden="1"/>
    </xf>
    <xf numFmtId="20" fontId="4" fillId="0" borderId="68" xfId="0" applyNumberFormat="1" applyFont="1" applyFill="1" applyBorder="1" applyAlignment="1" applyProtection="1">
      <alignment horizontal="center" vertical="center" wrapText="1"/>
      <protection locked="0" hidden="1"/>
    </xf>
    <xf numFmtId="14" fontId="19" fillId="0" borderId="70" xfId="0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56" xfId="0" applyFont="1" applyFill="1" applyBorder="1" applyAlignment="1" applyProtection="1">
      <alignment horizontal="center" vertical="center" wrapText="1"/>
      <protection locked="0" hidden="1"/>
    </xf>
    <xf numFmtId="0" fontId="19" fillId="0" borderId="57" xfId="0" applyFont="1" applyFill="1" applyBorder="1" applyAlignment="1" applyProtection="1">
      <alignment horizontal="center" vertical="center" wrapText="1"/>
      <protection locked="0" hidden="1"/>
    </xf>
    <xf numFmtId="0" fontId="19" fillId="0" borderId="34" xfId="0" applyFont="1" applyFill="1" applyBorder="1" applyAlignment="1" applyProtection="1">
      <alignment horizontal="center" vertical="center" wrapText="1"/>
      <protection locked="0" hidden="1"/>
    </xf>
    <xf numFmtId="0" fontId="19" fillId="0" borderId="32" xfId="0" applyFont="1" applyFill="1" applyBorder="1" applyAlignment="1" applyProtection="1">
      <alignment horizontal="center" vertical="center" wrapText="1"/>
      <protection locked="0" hidden="1"/>
    </xf>
    <xf numFmtId="0" fontId="19" fillId="0" borderId="88" xfId="0" applyFont="1" applyFill="1" applyBorder="1" applyAlignment="1" applyProtection="1">
      <alignment horizontal="center" vertical="center" wrapText="1"/>
      <protection locked="0" hidden="1"/>
    </xf>
    <xf numFmtId="165" fontId="4" fillId="0" borderId="47" xfId="0" applyNumberFormat="1" applyFont="1" applyFill="1" applyBorder="1" applyAlignment="1" applyProtection="1">
      <alignment horizontal="center" vertical="center" shrinkToFit="1"/>
      <protection locked="0" hidden="1"/>
    </xf>
    <xf numFmtId="165" fontId="4" fillId="0" borderId="97" xfId="0" applyNumberFormat="1" applyFont="1" applyFill="1" applyBorder="1" applyAlignment="1" applyProtection="1">
      <alignment horizontal="center" vertical="center" shrinkToFit="1"/>
      <protection locked="0" hidden="1"/>
    </xf>
    <xf numFmtId="0" fontId="11" fillId="0" borderId="112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113" xfId="0" applyFont="1" applyBorder="1" applyAlignment="1" applyProtection="1">
      <alignment horizontal="center" vertical="center"/>
      <protection hidden="1"/>
    </xf>
    <xf numFmtId="0" fontId="11" fillId="0" borderId="111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49" fontId="0" fillId="0" borderId="102" xfId="0" applyNumberFormat="1" applyBorder="1" applyAlignment="1" applyProtection="1">
      <alignment horizontal="center" vertical="center" wrapText="1"/>
      <protection locked="0" hidden="1"/>
    </xf>
    <xf numFmtId="49" fontId="2" fillId="0" borderId="46" xfId="0" applyNumberFormat="1" applyFont="1" applyBorder="1" applyAlignment="1" applyProtection="1">
      <alignment horizontal="center" vertical="center" wrapText="1"/>
      <protection locked="0" hidden="1"/>
    </xf>
    <xf numFmtId="49" fontId="0" fillId="0" borderId="102" xfId="0" applyNumberFormat="1" applyFont="1" applyBorder="1" applyAlignment="1" applyProtection="1">
      <alignment horizontal="center" vertical="center" wrapText="1"/>
      <protection locked="0"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20" fillId="0" borderId="64" xfId="0" applyFont="1" applyFill="1" applyBorder="1" applyAlignment="1" applyProtection="1">
      <alignment horizontal="center" vertical="center" wrapText="1"/>
      <protection locked="0" hidden="1"/>
    </xf>
    <xf numFmtId="0" fontId="20" fillId="0" borderId="65" xfId="0" applyFont="1" applyFill="1" applyBorder="1" applyAlignment="1" applyProtection="1">
      <alignment horizontal="center" vertical="center" wrapText="1"/>
      <protection locked="0" hidden="1"/>
    </xf>
    <xf numFmtId="0" fontId="20" fillId="0" borderId="87" xfId="0" applyFont="1" applyFill="1" applyBorder="1" applyAlignment="1" applyProtection="1">
      <alignment horizontal="center" vertical="center" wrapText="1"/>
      <protection locked="0" hidden="1"/>
    </xf>
    <xf numFmtId="0" fontId="20" fillId="0" borderId="34" xfId="0" applyFont="1" applyFill="1" applyBorder="1" applyAlignment="1" applyProtection="1">
      <alignment horizontal="center" vertical="center" wrapText="1"/>
      <protection locked="0" hidden="1"/>
    </xf>
    <xf numFmtId="0" fontId="20" fillId="0" borderId="32" xfId="0" applyFont="1" applyFill="1" applyBorder="1" applyAlignment="1" applyProtection="1">
      <alignment horizontal="center" vertical="center" wrapText="1"/>
      <protection locked="0" hidden="1"/>
    </xf>
    <xf numFmtId="0" fontId="20" fillId="0" borderId="88" xfId="0" applyFont="1" applyFill="1" applyBorder="1" applyAlignment="1" applyProtection="1">
      <alignment horizontal="center" vertical="center" wrapText="1"/>
      <protection locked="0" hidden="1"/>
    </xf>
    <xf numFmtId="0" fontId="20" fillId="0" borderId="21" xfId="0" applyFont="1" applyFill="1" applyBorder="1" applyAlignment="1" applyProtection="1">
      <alignment horizontal="center" vertical="center" wrapText="1"/>
      <protection locked="0" hidden="1"/>
    </xf>
    <xf numFmtId="0" fontId="20" fillId="0" borderId="23" xfId="0" applyFont="1" applyFill="1" applyBorder="1" applyAlignment="1" applyProtection="1">
      <alignment horizontal="center" vertical="center" wrapText="1"/>
      <protection locked="0" hidden="1"/>
    </xf>
    <xf numFmtId="0" fontId="20" fillId="0" borderId="89" xfId="0" applyFont="1" applyFill="1" applyBorder="1" applyAlignment="1" applyProtection="1">
      <alignment horizontal="center" vertical="center" wrapText="1"/>
      <protection locked="0" hidden="1"/>
    </xf>
    <xf numFmtId="0" fontId="20" fillId="0" borderId="67" xfId="0" applyFont="1" applyFill="1" applyBorder="1" applyAlignment="1" applyProtection="1">
      <alignment horizontal="center" vertical="center" wrapText="1"/>
      <protection locked="0" hidden="1"/>
    </xf>
    <xf numFmtId="0" fontId="20" fillId="0" borderId="31" xfId="0" applyFont="1" applyFill="1" applyBorder="1" applyAlignment="1" applyProtection="1">
      <alignment horizontal="center" vertical="center" wrapText="1"/>
      <protection locked="0" hidden="1"/>
    </xf>
    <xf numFmtId="0" fontId="20" fillId="0" borderId="63" xfId="0" applyFont="1" applyFill="1" applyBorder="1" applyAlignment="1" applyProtection="1">
      <alignment horizontal="center" vertical="center" wrapText="1"/>
      <protection locked="0" hidden="1"/>
    </xf>
    <xf numFmtId="0" fontId="0" fillId="0" borderId="90" xfId="0" applyBorder="1" applyAlignment="1" applyProtection="1">
      <alignment horizontal="center" vertical="center" wrapText="1"/>
      <protection locked="0" hidden="1"/>
    </xf>
    <xf numFmtId="0" fontId="47" fillId="0" borderId="21" xfId="0" applyFont="1" applyFill="1" applyBorder="1" applyAlignment="1" applyProtection="1">
      <alignment vertical="center" wrapText="1"/>
      <protection locked="0" hidden="1"/>
    </xf>
    <xf numFmtId="0" fontId="47" fillId="0" borderId="23" xfId="0" applyFont="1" applyFill="1" applyBorder="1" applyAlignment="1" applyProtection="1">
      <alignment vertical="center" wrapText="1"/>
      <protection locked="0" hidden="1"/>
    </xf>
    <xf numFmtId="0" fontId="47" fillId="0" borderId="89" xfId="0" applyFont="1" applyFill="1" applyBorder="1" applyAlignment="1" applyProtection="1">
      <alignment vertical="center" wrapText="1"/>
      <protection locked="0" hidden="1"/>
    </xf>
    <xf numFmtId="0" fontId="16" fillId="0" borderId="56" xfId="0" applyFont="1" applyBorder="1" applyAlignment="1" applyProtection="1">
      <alignment horizontal="center" vertical="center"/>
      <protection hidden="1"/>
    </xf>
    <xf numFmtId="0" fontId="16" fillId="0" borderId="76" xfId="0" applyFont="1" applyBorder="1" applyAlignment="1" applyProtection="1">
      <alignment horizontal="center" vertical="center"/>
      <protection hidden="1"/>
    </xf>
    <xf numFmtId="0" fontId="16" fillId="0" borderId="70" xfId="0" applyFont="1" applyBorder="1" applyAlignment="1" applyProtection="1">
      <alignment horizontal="right" vertical="center"/>
      <protection hidden="1"/>
    </xf>
    <xf numFmtId="0" fontId="16" fillId="0" borderId="56" xfId="0" applyFont="1" applyBorder="1" applyAlignment="1" applyProtection="1">
      <alignment horizontal="right" vertical="center"/>
      <protection hidden="1"/>
    </xf>
    <xf numFmtId="0" fontId="16" fillId="0" borderId="77" xfId="0" applyFont="1" applyBorder="1" applyAlignment="1" applyProtection="1">
      <alignment horizontal="right" vertical="center"/>
      <protection hidden="1"/>
    </xf>
    <xf numFmtId="0" fontId="16" fillId="0" borderId="76" xfId="0" applyFont="1" applyBorder="1" applyAlignment="1" applyProtection="1">
      <alignment horizontal="right" vertical="center"/>
      <protection hidden="1"/>
    </xf>
    <xf numFmtId="0" fontId="27" fillId="0" borderId="0" xfId="0" applyFont="1" applyBorder="1" applyAlignment="1" applyProtection="1">
      <alignment horizontal="center" wrapText="1"/>
      <protection hidden="1"/>
    </xf>
    <xf numFmtId="0" fontId="47" fillId="0" borderId="33" xfId="0" applyFont="1" applyFill="1" applyBorder="1" applyAlignment="1" applyProtection="1">
      <alignment vertical="center" wrapText="1"/>
      <protection locked="0" hidden="1"/>
    </xf>
    <xf numFmtId="0" fontId="47" fillId="0" borderId="22" xfId="0" applyFont="1" applyFill="1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horizontal="left" wrapText="1"/>
      <protection hidden="1"/>
    </xf>
    <xf numFmtId="0" fontId="25" fillId="0" borderId="34" xfId="0" applyFont="1" applyBorder="1" applyAlignment="1" applyProtection="1">
      <alignment horizontal="left" vertical="center" shrinkToFit="1"/>
      <protection hidden="1"/>
    </xf>
    <xf numFmtId="0" fontId="25" fillId="0" borderId="32" xfId="0" applyFont="1" applyBorder="1" applyAlignment="1" applyProtection="1">
      <alignment horizontal="left" vertical="center" shrinkToFit="1"/>
      <protection hidden="1"/>
    </xf>
    <xf numFmtId="0" fontId="25" fillId="0" borderId="88" xfId="0" applyFont="1" applyBorder="1" applyAlignment="1" applyProtection="1">
      <alignment horizontal="left" vertical="center" shrinkToFit="1"/>
      <protection hidden="1"/>
    </xf>
    <xf numFmtId="0" fontId="8" fillId="0" borderId="0" xfId="0" applyFont="1" applyBorder="1" applyAlignment="1" applyProtection="1">
      <alignment horizontal="right" wrapText="1"/>
      <protection locked="0" hidden="1"/>
    </xf>
    <xf numFmtId="0" fontId="40" fillId="2" borderId="76" xfId="0" applyFont="1" applyFill="1" applyBorder="1" applyAlignment="1" applyProtection="1">
      <alignment horizontal="center" vertical="center" wrapText="1"/>
      <protection hidden="1"/>
    </xf>
    <xf numFmtId="0" fontId="31" fillId="5" borderId="103" xfId="0" applyFont="1" applyFill="1" applyBorder="1" applyAlignment="1" applyProtection="1">
      <alignment horizontal="center" vertical="center" wrapText="1"/>
      <protection locked="0" hidden="1"/>
    </xf>
    <xf numFmtId="0" fontId="31" fillId="5" borderId="104" xfId="0" applyFont="1" applyFill="1" applyBorder="1" applyAlignment="1" applyProtection="1">
      <alignment horizontal="center" vertical="center" wrapText="1"/>
      <protection locked="0" hidden="1"/>
    </xf>
    <xf numFmtId="0" fontId="31" fillId="5" borderId="105" xfId="0" applyFont="1" applyFill="1" applyBorder="1" applyAlignment="1" applyProtection="1">
      <alignment horizontal="center" vertical="center" wrapText="1"/>
      <protection locked="0" hidden="1"/>
    </xf>
    <xf numFmtId="0" fontId="19" fillId="0" borderId="101" xfId="0" applyFont="1" applyFill="1" applyBorder="1" applyAlignment="1" applyProtection="1">
      <alignment horizontal="center" vertical="center" wrapText="1"/>
      <protection hidden="1"/>
    </xf>
    <xf numFmtId="0" fontId="19" fillId="0" borderId="56" xfId="0" applyFont="1" applyBorder="1" applyAlignment="1" applyProtection="1">
      <alignment vertical="center"/>
      <protection locked="0"/>
    </xf>
    <xf numFmtId="0" fontId="19" fillId="0" borderId="71" xfId="0" applyFont="1" applyBorder="1" applyAlignment="1" applyProtection="1">
      <alignment vertical="center"/>
      <protection locked="0"/>
    </xf>
    <xf numFmtId="49" fontId="0" fillId="0" borderId="108" xfId="0" applyNumberFormat="1" applyBorder="1" applyAlignment="1" applyProtection="1">
      <alignment horizontal="center" vertical="center" wrapText="1"/>
      <protection locked="0" hidden="1"/>
    </xf>
    <xf numFmtId="49" fontId="0" fillId="0" borderId="3" xfId="0" applyNumberFormat="1" applyBorder="1" applyAlignment="1" applyProtection="1">
      <alignment horizontal="center" vertical="center" wrapText="1"/>
      <protection locked="0" hidden="1"/>
    </xf>
    <xf numFmtId="49" fontId="0" fillId="0" borderId="111" xfId="0" applyNumberFormat="1" applyBorder="1" applyAlignment="1" applyProtection="1">
      <alignment horizontal="center" vertical="center" wrapText="1"/>
      <protection locked="0" hidden="1"/>
    </xf>
    <xf numFmtId="49" fontId="2" fillId="0" borderId="48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6" fillId="0" borderId="56" xfId="0" applyFont="1" applyBorder="1" applyAlignment="1" applyProtection="1">
      <alignment horizontal="left" vertical="center"/>
      <protection hidden="1"/>
    </xf>
    <xf numFmtId="0" fontId="16" fillId="0" borderId="71" xfId="0" applyFont="1" applyBorder="1" applyAlignment="1" applyProtection="1">
      <alignment horizontal="left" vertical="center"/>
      <protection hidden="1"/>
    </xf>
    <xf numFmtId="0" fontId="16" fillId="0" borderId="76" xfId="0" applyFont="1" applyBorder="1" applyAlignment="1" applyProtection="1">
      <alignment horizontal="left" vertical="center"/>
      <protection hidden="1"/>
    </xf>
    <xf numFmtId="0" fontId="16" fillId="0" borderId="79" xfId="0" applyFont="1" applyBorder="1" applyAlignment="1" applyProtection="1">
      <alignment horizontal="left" vertical="center"/>
      <protection hidden="1"/>
    </xf>
    <xf numFmtId="0" fontId="0" fillId="0" borderId="98" xfId="0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9" fillId="0" borderId="96" xfId="0" applyFont="1" applyFill="1" applyBorder="1" applyAlignment="1" applyProtection="1">
      <alignment horizontal="center" vertical="center" wrapText="1"/>
      <protection hidden="1"/>
    </xf>
    <xf numFmtId="0" fontId="19" fillId="0" borderId="82" xfId="0" applyFont="1" applyFill="1" applyBorder="1" applyAlignment="1" applyProtection="1">
      <alignment horizontal="center" vertical="center" wrapText="1"/>
      <protection hidden="1"/>
    </xf>
    <xf numFmtId="0" fontId="22" fillId="0" borderId="21" xfId="0" applyFont="1" applyBorder="1" applyAlignment="1" applyProtection="1">
      <alignment horizontal="center" textRotation="90"/>
    </xf>
    <xf numFmtId="0" fontId="22" fillId="0" borderId="23" xfId="0" applyFont="1" applyBorder="1" applyAlignment="1" applyProtection="1">
      <alignment horizontal="center" textRotation="90"/>
    </xf>
    <xf numFmtId="0" fontId="22" fillId="0" borderId="22" xfId="0" applyFont="1" applyBorder="1" applyAlignment="1" applyProtection="1">
      <alignment horizontal="center" textRotation="90"/>
    </xf>
    <xf numFmtId="0" fontId="20" fillId="0" borderId="21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33" xfId="0" applyFont="1" applyBorder="1" applyAlignment="1" applyProtection="1">
      <alignment horizontal="left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47" xfId="0" applyNumberFormat="1" applyFont="1" applyBorder="1" applyAlignment="1" applyProtection="1">
      <alignment horizontal="center" vertical="center"/>
    </xf>
    <xf numFmtId="0" fontId="20" fillId="0" borderId="4" xfId="0" applyNumberFormat="1" applyFont="1" applyBorder="1" applyAlignment="1" applyProtection="1">
      <alignment horizontal="center" vertical="center"/>
    </xf>
    <xf numFmtId="0" fontId="20" fillId="0" borderId="23" xfId="0" applyNumberFormat="1" applyFont="1" applyBorder="1" applyAlignment="1" applyProtection="1">
      <alignment horizontal="center" vertical="center"/>
    </xf>
    <xf numFmtId="0" fontId="20" fillId="0" borderId="32" xfId="0" applyNumberFormat="1" applyFont="1" applyBorder="1" applyAlignment="1" applyProtection="1">
      <alignment horizontal="center" vertical="center"/>
    </xf>
    <xf numFmtId="0" fontId="20" fillId="0" borderId="21" xfId="0" applyNumberFormat="1" applyFont="1" applyBorder="1" applyAlignment="1" applyProtection="1">
      <alignment horizontal="right" vertical="center"/>
    </xf>
    <xf numFmtId="0" fontId="20" fillId="0" borderId="34" xfId="0" applyNumberFormat="1" applyFont="1" applyBorder="1" applyAlignment="1" applyProtection="1">
      <alignment horizontal="right" vertical="center"/>
    </xf>
    <xf numFmtId="0" fontId="20" fillId="0" borderId="22" xfId="0" applyNumberFormat="1" applyFont="1" applyBorder="1" applyAlignment="1" applyProtection="1">
      <alignment horizontal="left" vertical="center"/>
    </xf>
    <xf numFmtId="0" fontId="20" fillId="0" borderId="33" xfId="0" applyNumberFormat="1" applyFont="1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right" vertical="center"/>
    </xf>
    <xf numFmtId="0" fontId="20" fillId="0" borderId="34" xfId="0" applyFont="1" applyBorder="1" applyAlignment="1" applyProtection="1">
      <alignment horizontal="right" vertical="center"/>
    </xf>
    <xf numFmtId="0" fontId="20" fillId="0" borderId="21" xfId="0" applyFont="1" applyBorder="1" applyAlignment="1" applyProtection="1">
      <alignment vertical="center"/>
    </xf>
    <xf numFmtId="0" fontId="20" fillId="0" borderId="34" xfId="0" applyFont="1" applyBorder="1" applyAlignment="1" applyProtection="1">
      <alignment vertical="center"/>
    </xf>
    <xf numFmtId="0" fontId="20" fillId="0" borderId="21" xfId="0" applyNumberFormat="1" applyFont="1" applyBorder="1" applyAlignment="1" applyProtection="1">
      <alignment vertical="center"/>
    </xf>
    <xf numFmtId="0" fontId="20" fillId="0" borderId="34" xfId="0" applyNumberFormat="1" applyFont="1" applyBorder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 wrapText="1"/>
    </xf>
    <xf numFmtId="0" fontId="21" fillId="0" borderId="58" xfId="0" applyFont="1" applyBorder="1" applyAlignment="1" applyProtection="1">
      <alignment horizontal="center" vertical="center" wrapText="1"/>
    </xf>
    <xf numFmtId="0" fontId="21" fillId="0" borderId="59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56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24" fillId="0" borderId="0" xfId="0" applyFont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98" xfId="0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60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81" xfId="0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55" fillId="0" borderId="0" xfId="0" applyFont="1" applyAlignment="1" applyProtection="1">
      <alignment horizontal="center" vertical="center" wrapText="1"/>
    </xf>
    <xf numFmtId="0" fontId="59" fillId="4" borderId="0" xfId="0" applyFont="1" applyFill="1" applyAlignment="1" applyProtection="1">
      <alignment horizontal="center" vertical="center" wrapText="1"/>
    </xf>
    <xf numFmtId="0" fontId="61" fillId="2" borderId="0" xfId="0" applyFont="1" applyFill="1" applyAlignment="1" applyProtection="1">
      <alignment horizontal="center" vertical="center" wrapText="1"/>
    </xf>
    <xf numFmtId="0" fontId="63" fillId="4" borderId="0" xfId="0" applyFont="1" applyFill="1" applyAlignment="1" applyProtection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5" borderId="0" xfId="0" applyFont="1" applyFill="1" applyBorder="1" applyAlignment="1">
      <alignment horizontal="right" vertical="center"/>
    </xf>
    <xf numFmtId="0" fontId="43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left" vertical="center"/>
    </xf>
    <xf numFmtId="1" fontId="37" fillId="0" borderId="0" xfId="0" applyNumberFormat="1" applyFont="1" applyFill="1" applyBorder="1" applyAlignment="1">
      <alignment horizontal="right" vertical="center" shrinkToFit="1"/>
    </xf>
    <xf numFmtId="1" fontId="37" fillId="0" borderId="0" xfId="0" applyNumberFormat="1" applyFont="1" applyBorder="1" applyAlignment="1">
      <alignment horizontal="left" vertical="center" shrinkToFit="1"/>
    </xf>
    <xf numFmtId="1" fontId="38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10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 patternType="solid">
          <fgColor indexed="64"/>
          <bgColor indexed="1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7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2</xdr:row>
      <xdr:rowOff>123825</xdr:rowOff>
    </xdr:from>
    <xdr:to>
      <xdr:col>5</xdr:col>
      <xdr:colOff>295275</xdr:colOff>
      <xdr:row>7</xdr:row>
      <xdr:rowOff>38100</xdr:rowOff>
    </xdr:to>
    <xdr:pic>
      <xdr:nvPicPr>
        <xdr:cNvPr id="11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0"/>
          <a:ext cx="581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95250</xdr:colOff>
      <xdr:row>10</xdr:row>
      <xdr:rowOff>28575</xdr:rowOff>
    </xdr:from>
    <xdr:to>
      <xdr:col>28</xdr:col>
      <xdr:colOff>542925</xdr:colOff>
      <xdr:row>10</xdr:row>
      <xdr:rowOff>857250</xdr:rowOff>
    </xdr:to>
    <xdr:pic>
      <xdr:nvPicPr>
        <xdr:cNvPr id="5131" name="Picture 5" descr="xxx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4019550"/>
          <a:ext cx="3019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247650</xdr:colOff>
      <xdr:row>10</xdr:row>
      <xdr:rowOff>857250</xdr:rowOff>
    </xdr:from>
    <xdr:to>
      <xdr:col>28</xdr:col>
      <xdr:colOff>542925</xdr:colOff>
      <xdr:row>10</xdr:row>
      <xdr:rowOff>1381125</xdr:rowOff>
    </xdr:to>
    <xdr:pic>
      <xdr:nvPicPr>
        <xdr:cNvPr id="5132" name="Picture 6" descr="yyy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4848225"/>
          <a:ext cx="3438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5"/>
    <pageSetUpPr fitToPage="1"/>
  </sheetPr>
  <dimension ref="A1:EF71"/>
  <sheetViews>
    <sheetView showGridLines="0" showRowColHeaders="0" tabSelected="1" topLeftCell="D1" zoomScale="85" zoomScaleNormal="85" workbookViewId="0">
      <pane ySplit="2" topLeftCell="A3" activePane="bottomLeft" state="frozen"/>
      <selection pane="bottomLeft" activeCell="P8" sqref="P8:V8"/>
    </sheetView>
  </sheetViews>
  <sheetFormatPr defaultColWidth="5" defaultRowHeight="20.25" customHeight="1" x14ac:dyDescent="0.2"/>
  <cols>
    <col min="1" max="1" width="3.28515625" style="22" hidden="1" customWidth="1"/>
    <col min="2" max="3" width="2.85546875" style="22" hidden="1" customWidth="1"/>
    <col min="4" max="4" width="3" style="37" customWidth="1"/>
    <col min="5" max="5" width="2.85546875" style="22" customWidth="1"/>
    <col min="6" max="6" width="5.28515625" style="22" customWidth="1"/>
    <col min="7" max="7" width="8.7109375" style="22" customWidth="1"/>
    <col min="8" max="8" width="4.140625" style="22" customWidth="1"/>
    <col min="9" max="9" width="1.7109375" style="22" customWidth="1"/>
    <col min="10" max="10" width="4.140625" style="22" customWidth="1"/>
    <col min="11" max="11" width="4.42578125" style="22" customWidth="1"/>
    <col min="12" max="12" width="2.85546875" style="22" customWidth="1"/>
    <col min="13" max="13" width="3" style="22" customWidth="1"/>
    <col min="14" max="14" width="2.85546875" style="22" customWidth="1"/>
    <col min="15" max="15" width="1.7109375" style="22" customWidth="1"/>
    <col min="16" max="16" width="5.140625" style="22" customWidth="1"/>
    <col min="17" max="17" width="5.7109375" style="22" customWidth="1"/>
    <col min="18" max="18" width="6.28515625" style="22" customWidth="1"/>
    <col min="19" max="19" width="1.7109375" style="22" customWidth="1"/>
    <col min="20" max="20" width="3.28515625" style="22" customWidth="1"/>
    <col min="21" max="25" width="4" style="22" customWidth="1"/>
    <col min="26" max="28" width="3.7109375" style="22" customWidth="1"/>
    <col min="29" max="29" width="4.7109375" style="22" customWidth="1"/>
    <col min="30" max="30" width="5" style="22" hidden="1" customWidth="1"/>
    <col min="31" max="31" width="2.140625" style="23" hidden="1" customWidth="1"/>
    <col min="32" max="32" width="6.85546875" style="23" hidden="1" customWidth="1"/>
    <col min="33" max="33" width="2.85546875" style="23" hidden="1" customWidth="1"/>
    <col min="34" max="34" width="6.7109375" style="23" hidden="1" customWidth="1"/>
    <col min="35" max="35" width="5" style="23" hidden="1" customWidth="1"/>
    <col min="36" max="36" width="3.85546875" style="24" hidden="1" customWidth="1"/>
    <col min="37" max="39" width="3.140625" style="22" hidden="1" customWidth="1"/>
    <col min="40" max="40" width="2.140625" style="22" hidden="1" customWidth="1"/>
    <col min="41" max="41" width="3.42578125" style="25" hidden="1" customWidth="1"/>
    <col min="42" max="42" width="3.85546875" style="22" hidden="1" customWidth="1"/>
    <col min="43" max="43" width="2.140625" style="22" hidden="1" customWidth="1"/>
    <col min="44" max="46" width="3.140625" style="22" hidden="1" customWidth="1"/>
    <col min="47" max="47" width="3.140625" style="25" hidden="1" customWidth="1"/>
    <col min="48" max="48" width="2.140625" style="24" hidden="1" customWidth="1"/>
    <col min="49" max="51" width="2.140625" style="22" hidden="1" customWidth="1"/>
    <col min="52" max="52" width="2.140625" style="25" hidden="1" customWidth="1"/>
    <col min="53" max="53" width="2.140625" style="24" hidden="1" customWidth="1"/>
    <col min="54" max="56" width="2.140625" style="22" hidden="1" customWidth="1"/>
    <col min="57" max="57" width="2.140625" style="25" hidden="1" customWidth="1"/>
    <col min="58" max="67" width="2.140625" style="22" hidden="1" customWidth="1"/>
    <col min="68" max="69" width="2.140625" style="26" hidden="1" customWidth="1"/>
    <col min="70" max="70" width="13.42578125" style="27" hidden="1" customWidth="1"/>
    <col min="71" max="71" width="3.140625" style="28" hidden="1" customWidth="1"/>
    <col min="72" max="75" width="2.140625" style="29" hidden="1" customWidth="1"/>
    <col min="76" max="79" width="2.140625" style="30" hidden="1" customWidth="1"/>
    <col min="80" max="80" width="2.42578125" style="31" hidden="1" customWidth="1"/>
    <col min="81" max="81" width="2.28515625" style="31" hidden="1" customWidth="1"/>
    <col min="82" max="83" width="2.140625" style="31" hidden="1" customWidth="1"/>
    <col min="84" max="85" width="3.140625" style="31" hidden="1" customWidth="1"/>
    <col min="86" max="89" width="2.140625" style="21" hidden="1" customWidth="1"/>
    <col min="90" max="93" width="2.140625" style="32" hidden="1" customWidth="1"/>
    <col min="94" max="94" width="2.42578125" style="33" hidden="1" customWidth="1"/>
    <col min="95" max="95" width="2.28515625" style="33" hidden="1" customWidth="1"/>
    <col min="96" max="97" width="2.140625" style="34" hidden="1" customWidth="1"/>
    <col min="98" max="99" width="3.140625" style="34" hidden="1" customWidth="1"/>
    <col min="100" max="100" width="3.140625" style="35" hidden="1" customWidth="1"/>
    <col min="101" max="101" width="2.140625" style="28" hidden="1" customWidth="1"/>
    <col min="102" max="102" width="2.140625" style="36" hidden="1" customWidth="1"/>
    <col min="103" max="103" width="1.85546875" style="28" hidden="1" customWidth="1"/>
    <col min="104" max="104" width="2.140625" style="28" hidden="1" customWidth="1"/>
    <col min="105" max="107" width="2.140625" style="37" hidden="1" customWidth="1"/>
    <col min="108" max="109" width="3.140625" style="37" hidden="1" customWidth="1"/>
    <col min="110" max="110" width="2.140625" style="37" hidden="1" customWidth="1"/>
    <col min="111" max="111" width="1.140625" style="37" hidden="1" customWidth="1"/>
    <col min="112" max="112" width="2.140625" style="37" hidden="1" customWidth="1"/>
    <col min="113" max="113" width="6.140625" style="22" hidden="1" customWidth="1"/>
    <col min="114" max="118" width="5" style="22" hidden="1" customWidth="1"/>
    <col min="119" max="119" width="2.85546875" style="22" hidden="1" customWidth="1"/>
    <col min="120" max="120" width="22.5703125" style="22" hidden="1" customWidth="1"/>
    <col min="121" max="121" width="11.28515625" style="37" hidden="1" customWidth="1"/>
    <col min="122" max="122" width="23.28515625" style="37" hidden="1" customWidth="1"/>
    <col min="123" max="123" width="18.42578125" style="22" hidden="1" customWidth="1"/>
    <col min="124" max="124" width="15.140625" style="22" hidden="1" customWidth="1"/>
    <col min="125" max="125" width="21.85546875" style="154" hidden="1" customWidth="1"/>
    <col min="126" max="126" width="16.42578125" style="154" hidden="1" customWidth="1"/>
    <col min="127" max="127" width="21.140625" style="22" hidden="1" customWidth="1"/>
    <col min="128" max="128" width="17" style="22" hidden="1" customWidth="1"/>
    <col min="129" max="129" width="19" style="22" hidden="1" customWidth="1"/>
    <col min="130" max="130" width="17" style="22" hidden="1" customWidth="1"/>
    <col min="131" max="131" width="16.28515625" style="22" hidden="1" customWidth="1"/>
    <col min="132" max="132" width="19.140625" style="22" hidden="1" customWidth="1"/>
    <col min="133" max="133" width="19.5703125" style="22" hidden="1" customWidth="1"/>
    <col min="134" max="135" width="3.140625" style="22" hidden="1" customWidth="1"/>
    <col min="136" max="136" width="5" style="22" hidden="1" customWidth="1"/>
    <col min="137" max="16384" width="5" style="22"/>
  </cols>
  <sheetData>
    <row r="1" spans="4:135" s="257" customFormat="1" ht="19.5" customHeight="1" thickBot="1" x14ac:dyDescent="0.25">
      <c r="D1" s="255"/>
      <c r="E1" s="256"/>
      <c r="F1" s="651" t="s">
        <v>139</v>
      </c>
      <c r="G1" s="651"/>
      <c r="H1" s="651"/>
      <c r="I1" s="651"/>
      <c r="J1" s="651"/>
      <c r="K1" s="651"/>
      <c r="L1" s="256"/>
      <c r="M1" s="651" t="s">
        <v>140</v>
      </c>
      <c r="N1" s="651"/>
      <c r="O1" s="651"/>
      <c r="P1" s="651"/>
      <c r="Q1" s="651"/>
      <c r="R1" s="651"/>
      <c r="S1" s="651"/>
      <c r="T1" s="651"/>
      <c r="U1" s="256"/>
      <c r="V1" s="434" t="s">
        <v>141</v>
      </c>
      <c r="W1" s="435"/>
      <c r="X1" s="432" t="str">
        <f>H18</f>
        <v/>
      </c>
      <c r="Y1" s="432"/>
      <c r="Z1" s="432"/>
      <c r="AA1" s="442" t="str">
        <f>I18</f>
        <v/>
      </c>
      <c r="AB1" s="438" t="str">
        <f>J18</f>
        <v/>
      </c>
      <c r="AC1" s="439"/>
      <c r="AE1" s="258"/>
      <c r="AF1" s="258"/>
      <c r="AG1" s="258"/>
      <c r="AH1" s="258"/>
      <c r="AI1" s="258"/>
      <c r="AJ1" s="259"/>
      <c r="AO1" s="260"/>
      <c r="AU1" s="260"/>
      <c r="AV1" s="259"/>
      <c r="AZ1" s="260"/>
      <c r="BA1" s="259"/>
      <c r="BE1" s="260"/>
      <c r="BP1" s="261"/>
      <c r="BQ1" s="261"/>
      <c r="BR1" s="262"/>
      <c r="BS1" s="263"/>
      <c r="BT1" s="264"/>
      <c r="BU1" s="264"/>
      <c r="BV1" s="264"/>
      <c r="BW1" s="264"/>
      <c r="BX1" s="265"/>
      <c r="BY1" s="265"/>
      <c r="BZ1" s="265"/>
      <c r="CA1" s="265"/>
      <c r="CB1" s="266"/>
      <c r="CC1" s="266"/>
      <c r="CD1" s="266"/>
      <c r="CE1" s="266"/>
      <c r="CF1" s="266"/>
      <c r="CG1" s="266"/>
      <c r="CH1" s="255"/>
      <c r="CI1" s="255"/>
      <c r="CJ1" s="255"/>
      <c r="CK1" s="255"/>
      <c r="CL1" s="267"/>
      <c r="CM1" s="267"/>
      <c r="CN1" s="267"/>
      <c r="CO1" s="267"/>
      <c r="CP1" s="268"/>
      <c r="CQ1" s="268"/>
      <c r="CR1" s="269"/>
      <c r="CS1" s="269"/>
      <c r="CT1" s="269"/>
      <c r="CU1" s="269"/>
      <c r="CV1" s="270"/>
      <c r="CW1" s="263"/>
      <c r="CX1" s="271"/>
      <c r="CY1" s="263"/>
      <c r="CZ1" s="263"/>
      <c r="DA1" s="272"/>
      <c r="DB1" s="272"/>
      <c r="DC1" s="272"/>
      <c r="DD1" s="272"/>
      <c r="DE1" s="272"/>
      <c r="DF1" s="272"/>
      <c r="DG1" s="272"/>
      <c r="DH1" s="272"/>
      <c r="DP1" s="274"/>
      <c r="DQ1" s="275"/>
      <c r="DU1" s="273"/>
      <c r="DV1" s="273"/>
    </row>
    <row r="2" spans="4:135" s="205" customFormat="1" ht="23.25" customHeight="1" thickTop="1" thickBot="1" x14ac:dyDescent="0.25">
      <c r="D2" s="254"/>
      <c r="E2" s="254"/>
      <c r="F2" s="652"/>
      <c r="G2" s="653"/>
      <c r="H2" s="653"/>
      <c r="I2" s="653"/>
      <c r="J2" s="653"/>
      <c r="K2" s="654"/>
      <c r="L2" s="254"/>
      <c r="M2" s="652"/>
      <c r="N2" s="653"/>
      <c r="O2" s="653"/>
      <c r="P2" s="653"/>
      <c r="Q2" s="653"/>
      <c r="R2" s="653"/>
      <c r="S2" s="653"/>
      <c r="T2" s="654"/>
      <c r="U2" s="254"/>
      <c r="V2" s="436"/>
      <c r="W2" s="437"/>
      <c r="X2" s="433"/>
      <c r="Y2" s="433"/>
      <c r="Z2" s="433"/>
      <c r="AA2" s="443"/>
      <c r="AB2" s="440"/>
      <c r="AC2" s="441"/>
      <c r="AE2" s="206"/>
      <c r="AF2" s="276">
        <f ca="1">TODAY()</f>
        <v>42991</v>
      </c>
      <c r="AG2" s="206"/>
      <c r="AH2" s="206" t="b">
        <f>OR(X1=10,AB1=10)</f>
        <v>0</v>
      </c>
      <c r="AI2" s="206"/>
      <c r="AJ2" s="207"/>
      <c r="AO2" s="208"/>
      <c r="AU2" s="208"/>
      <c r="AV2" s="207"/>
      <c r="AZ2" s="208"/>
      <c r="BA2" s="207"/>
      <c r="BE2" s="208"/>
      <c r="BP2" s="209"/>
      <c r="BQ2" s="209"/>
      <c r="BR2" s="210"/>
      <c r="BS2" s="211"/>
      <c r="BT2" s="212"/>
      <c r="BU2" s="212"/>
      <c r="BV2" s="212"/>
      <c r="BW2" s="212"/>
      <c r="BX2" s="213"/>
      <c r="BY2" s="213"/>
      <c r="BZ2" s="213"/>
      <c r="CA2" s="213"/>
      <c r="CB2" s="214"/>
      <c r="CC2" s="214"/>
      <c r="CD2" s="214"/>
      <c r="CE2" s="214"/>
      <c r="CF2" s="214"/>
      <c r="CG2" s="214"/>
      <c r="CH2" s="215"/>
      <c r="CI2" s="215"/>
      <c r="CJ2" s="215"/>
      <c r="CK2" s="215"/>
      <c r="CL2" s="216"/>
      <c r="CM2" s="216"/>
      <c r="CN2" s="216"/>
      <c r="CO2" s="216"/>
      <c r="CP2" s="217"/>
      <c r="CQ2" s="217"/>
      <c r="CR2" s="218"/>
      <c r="CS2" s="218"/>
      <c r="CT2" s="218"/>
      <c r="CU2" s="218"/>
      <c r="CV2" s="219"/>
      <c r="CW2" s="211"/>
      <c r="CX2" s="220"/>
      <c r="CZ2" s="211"/>
      <c r="DA2" s="221"/>
      <c r="DB2" s="221"/>
      <c r="DC2" s="221"/>
      <c r="DD2" s="221"/>
      <c r="DE2" s="221"/>
      <c r="DF2" s="221"/>
      <c r="DG2" s="221"/>
      <c r="DH2" s="221"/>
      <c r="DP2" s="250"/>
      <c r="DQ2" s="275"/>
      <c r="DU2" s="222"/>
      <c r="DV2" s="222"/>
    </row>
    <row r="3" spans="4:135" ht="14.25" customHeight="1" thickTop="1" x14ac:dyDescent="0.2">
      <c r="D3" s="473"/>
      <c r="E3" s="473"/>
      <c r="F3" s="473"/>
      <c r="G3" s="662" t="s">
        <v>48</v>
      </c>
      <c r="H3" s="662"/>
      <c r="I3" s="662"/>
      <c r="J3" s="662"/>
      <c r="K3" s="662"/>
      <c r="L3" s="662"/>
      <c r="M3" s="662"/>
      <c r="N3" s="662"/>
      <c r="O3" s="662"/>
      <c r="P3" s="662"/>
      <c r="Q3" s="662"/>
      <c r="R3" s="662"/>
      <c r="S3" s="662"/>
      <c r="T3" s="662"/>
      <c r="U3" s="662"/>
      <c r="V3" s="662"/>
      <c r="W3" s="662"/>
      <c r="X3" s="662"/>
      <c r="Y3" s="662"/>
      <c r="Z3" s="662"/>
      <c r="AA3" s="458" t="s">
        <v>42</v>
      </c>
      <c r="AB3" s="458"/>
      <c r="AC3" s="458"/>
      <c r="AF3" s="277">
        <v>0.33333333333333298</v>
      </c>
      <c r="CY3" s="22"/>
    </row>
    <row r="4" spans="4:135" ht="14.25" customHeight="1" x14ac:dyDescent="0.2">
      <c r="D4" s="473"/>
      <c r="E4" s="473"/>
      <c r="F4" s="473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  <c r="W4" s="662"/>
      <c r="X4" s="662"/>
      <c r="Y4" s="662"/>
      <c r="Z4" s="662"/>
      <c r="AA4" s="459" t="s">
        <v>43</v>
      </c>
      <c r="AB4" s="459"/>
      <c r="AC4" s="459"/>
      <c r="AF4" s="277">
        <v>0.375</v>
      </c>
      <c r="CY4" s="22"/>
      <c r="DP4" s="22" t="b">
        <f>AND(X1=9,AB1=9)</f>
        <v>0</v>
      </c>
    </row>
    <row r="5" spans="4:135" ht="14.25" customHeight="1" x14ac:dyDescent="0.2">
      <c r="D5" s="473"/>
      <c r="E5" s="473"/>
      <c r="F5" s="473"/>
      <c r="G5" s="460" t="s">
        <v>49</v>
      </c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56" t="s">
        <v>44</v>
      </c>
      <c r="AB5" s="456"/>
      <c r="AC5" s="456"/>
      <c r="AF5" s="277">
        <v>0.41666666666666702</v>
      </c>
      <c r="DP5" s="54">
        <f>COUNTIF(DP6:DP9,TRUE)</f>
        <v>0</v>
      </c>
      <c r="DQ5" s="54">
        <f>COUNTIF(DQ6:DQ9,TRUE)</f>
        <v>0</v>
      </c>
      <c r="DR5" s="54"/>
    </row>
    <row r="6" spans="4:135" ht="14.25" customHeight="1" x14ac:dyDescent="0.2">
      <c r="D6" s="473"/>
      <c r="E6" s="473"/>
      <c r="F6" s="473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56" t="s">
        <v>45</v>
      </c>
      <c r="AB6" s="456"/>
      <c r="AC6" s="456"/>
      <c r="AF6" s="277">
        <v>0.54166666666666696</v>
      </c>
      <c r="DP6" s="22" t="b">
        <f>AND((COUNTIF(F23:F26,F23))&gt;1,F23&lt;&gt;0)</f>
        <v>0</v>
      </c>
      <c r="DQ6" s="22" t="b">
        <f>AND((COUNTIF(M23:M26,M23))&gt;1,M23&lt;&gt;0)</f>
        <v>0</v>
      </c>
    </row>
    <row r="7" spans="4:135" ht="14.25" customHeight="1" x14ac:dyDescent="0.2">
      <c r="D7" s="473"/>
      <c r="E7" s="473"/>
      <c r="F7" s="473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56" t="s">
        <v>46</v>
      </c>
      <c r="AB7" s="456"/>
      <c r="AC7" s="456"/>
      <c r="AF7" s="277">
        <v>0.58333333333333404</v>
      </c>
      <c r="DP7" s="22" t="b">
        <f>AND((COUNTIF(F23:F26,F24))&gt;1,F24&lt;&gt;0)</f>
        <v>0</v>
      </c>
      <c r="DQ7" s="22" t="b">
        <f>AND((COUNTIF(M23:M26,M24))&gt;1,M24&lt;&gt;0)</f>
        <v>0</v>
      </c>
    </row>
    <row r="8" spans="4:135" ht="14.25" customHeight="1" x14ac:dyDescent="0.2">
      <c r="D8" s="473"/>
      <c r="E8" s="473"/>
      <c r="F8" s="473"/>
      <c r="G8" s="595" t="s">
        <v>50</v>
      </c>
      <c r="H8" s="595"/>
      <c r="I8" s="595"/>
      <c r="J8" s="595"/>
      <c r="K8" s="595"/>
      <c r="L8" s="595"/>
      <c r="M8" s="595"/>
      <c r="N8" s="595"/>
      <c r="O8" s="595"/>
      <c r="P8" s="596"/>
      <c r="Q8" s="596"/>
      <c r="R8" s="596"/>
      <c r="S8" s="596"/>
      <c r="T8" s="596"/>
      <c r="U8" s="596"/>
      <c r="V8" s="596"/>
      <c r="AA8" s="456" t="s">
        <v>47</v>
      </c>
      <c r="AB8" s="456"/>
      <c r="AC8" s="456"/>
      <c r="AF8" s="277">
        <v>0.625000000000002</v>
      </c>
      <c r="DP8" s="22" t="b">
        <f>AND((COUNTIF(F23:F26,F25))&gt;1,F25&lt;&gt;0)</f>
        <v>0</v>
      </c>
      <c r="DQ8" s="22" t="b">
        <f>AND((COUNTIF(M23:M26,M25))&gt;1,M25&lt;&gt;0)</f>
        <v>0</v>
      </c>
    </row>
    <row r="9" spans="4:135" ht="9.75" customHeight="1" thickBot="1" x14ac:dyDescent="0.25">
      <c r="F9" s="37"/>
      <c r="G9" s="37"/>
      <c r="H9" s="37"/>
      <c r="I9" s="37"/>
      <c r="J9" s="37"/>
      <c r="K9" s="37"/>
      <c r="DP9" s="22" t="b">
        <f>AND((COUNTIF(F23:F26,F26))&gt;1,F26&lt;&gt;0)</f>
        <v>0</v>
      </c>
      <c r="DQ9" s="22" t="b">
        <f>AND((COUNTIF(M23:M26,M26))&gt;1,M26&lt;&gt;0)</f>
        <v>0</v>
      </c>
      <c r="DR9" s="54"/>
    </row>
    <row r="10" spans="4:135" s="39" customFormat="1" ht="12" customHeight="1" thickTop="1" x14ac:dyDescent="0.2">
      <c r="D10" s="507" t="s">
        <v>18</v>
      </c>
      <c r="E10" s="508"/>
      <c r="F10" s="509"/>
      <c r="G10" s="621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3"/>
      <c r="S10" s="469" t="s">
        <v>26</v>
      </c>
      <c r="T10" s="470"/>
      <c r="U10" s="471"/>
      <c r="V10" s="447"/>
      <c r="W10" s="448"/>
      <c r="X10" s="448"/>
      <c r="Y10" s="448"/>
      <c r="Z10" s="448"/>
      <c r="AA10" s="449"/>
      <c r="AB10" s="467" t="s">
        <v>25</v>
      </c>
      <c r="AC10" s="513"/>
      <c r="AE10" s="40"/>
      <c r="AG10" s="40"/>
      <c r="AH10" s="40"/>
      <c r="AI10" s="40"/>
      <c r="AJ10" s="41"/>
      <c r="AO10" s="42"/>
      <c r="AU10" s="42"/>
      <c r="AV10" s="41"/>
      <c r="AZ10" s="42"/>
      <c r="BA10" s="41"/>
      <c r="BE10" s="42"/>
      <c r="BP10" s="43"/>
      <c r="BQ10" s="43"/>
      <c r="BR10" s="44"/>
      <c r="BS10" s="45"/>
      <c r="BT10" s="46"/>
      <c r="BU10" s="46"/>
      <c r="BV10" s="46"/>
      <c r="BW10" s="46"/>
      <c r="BX10" s="47"/>
      <c r="BY10" s="47"/>
      <c r="BZ10" s="47"/>
      <c r="CA10" s="47"/>
      <c r="CB10" s="48"/>
      <c r="CC10" s="48"/>
      <c r="CD10" s="48"/>
      <c r="CE10" s="48"/>
      <c r="CF10" s="48"/>
      <c r="CG10" s="48"/>
      <c r="CH10" s="49"/>
      <c r="CI10" s="49"/>
      <c r="CJ10" s="49"/>
      <c r="CK10" s="49"/>
      <c r="CL10" s="50"/>
      <c r="CM10" s="50"/>
      <c r="CN10" s="50"/>
      <c r="CO10" s="50"/>
      <c r="CP10" s="51"/>
      <c r="CQ10" s="51"/>
      <c r="CR10" s="52"/>
      <c r="CS10" s="52"/>
      <c r="CT10" s="52"/>
      <c r="CU10" s="52"/>
      <c r="CV10" s="53"/>
      <c r="CW10" s="45"/>
      <c r="CX10" s="38"/>
      <c r="CY10" s="45"/>
      <c r="CZ10" s="45"/>
      <c r="DA10" s="54"/>
      <c r="DB10" s="54"/>
      <c r="DC10" s="54"/>
      <c r="DD10" s="54"/>
      <c r="DE10" s="54"/>
      <c r="DF10" s="54"/>
      <c r="DG10" s="54"/>
      <c r="DH10" s="54"/>
      <c r="DP10" s="251" t="b">
        <f>AND((COUNTIF(F27:F30,F27))&gt;1,F27&lt;&gt;0)</f>
        <v>0</v>
      </c>
      <c r="DQ10" s="251" t="b">
        <f>AND((COUNTIF(M27:M30,M27))&gt;1,M27&lt;&gt;0)</f>
        <v>0</v>
      </c>
      <c r="DR10" s="54"/>
      <c r="DU10" s="155"/>
      <c r="DV10" s="155"/>
    </row>
    <row r="11" spans="4:135" s="39" customFormat="1" ht="12" customHeight="1" thickBot="1" x14ac:dyDescent="0.25">
      <c r="D11" s="510"/>
      <c r="E11" s="511"/>
      <c r="F11" s="512"/>
      <c r="G11" s="624"/>
      <c r="H11" s="625"/>
      <c r="I11" s="625"/>
      <c r="J11" s="625"/>
      <c r="K11" s="625"/>
      <c r="L11" s="625"/>
      <c r="M11" s="625"/>
      <c r="N11" s="625"/>
      <c r="O11" s="625"/>
      <c r="P11" s="625"/>
      <c r="Q11" s="625"/>
      <c r="R11" s="626"/>
      <c r="S11" s="472" t="s">
        <v>27</v>
      </c>
      <c r="T11" s="465"/>
      <c r="U11" s="466"/>
      <c r="V11" s="450"/>
      <c r="W11" s="451"/>
      <c r="X11" s="451"/>
      <c r="Y11" s="451"/>
      <c r="Z11" s="451"/>
      <c r="AA11" s="452"/>
      <c r="AB11" s="468"/>
      <c r="AC11" s="514"/>
      <c r="AE11" s="40"/>
      <c r="AF11" s="40"/>
      <c r="AG11" s="40"/>
      <c r="AH11" s="40"/>
      <c r="AI11" s="40"/>
      <c r="AJ11" s="41"/>
      <c r="AO11" s="42"/>
      <c r="AU11" s="42"/>
      <c r="AV11" s="41"/>
      <c r="AZ11" s="42"/>
      <c r="BA11" s="41"/>
      <c r="BE11" s="42"/>
      <c r="BP11" s="43"/>
      <c r="BQ11" s="43"/>
      <c r="BR11" s="44"/>
      <c r="BS11" s="45"/>
      <c r="BT11" s="46"/>
      <c r="BU11" s="46"/>
      <c r="BV11" s="46"/>
      <c r="BW11" s="46"/>
      <c r="BX11" s="47"/>
      <c r="BY11" s="47"/>
      <c r="BZ11" s="47"/>
      <c r="CA11" s="47"/>
      <c r="CB11" s="48"/>
      <c r="CC11" s="48"/>
      <c r="CD11" s="48"/>
      <c r="CE11" s="48"/>
      <c r="CF11" s="48"/>
      <c r="CG11" s="48"/>
      <c r="CH11" s="49"/>
      <c r="CI11" s="49"/>
      <c r="CJ11" s="49"/>
      <c r="CK11" s="49"/>
      <c r="CL11" s="50"/>
      <c r="CM11" s="50"/>
      <c r="CN11" s="50"/>
      <c r="CO11" s="50"/>
      <c r="CP11" s="51"/>
      <c r="CQ11" s="51"/>
      <c r="CR11" s="52"/>
      <c r="CS11" s="52"/>
      <c r="CT11" s="52"/>
      <c r="CU11" s="52"/>
      <c r="CV11" s="53"/>
      <c r="CW11" s="45"/>
      <c r="CX11" s="38"/>
      <c r="CY11" s="45"/>
      <c r="CZ11" s="45"/>
      <c r="DA11" s="54"/>
      <c r="DB11" s="54"/>
      <c r="DC11" s="54"/>
      <c r="DD11" s="54"/>
      <c r="DE11" s="54"/>
      <c r="DF11" s="54"/>
      <c r="DG11" s="54"/>
      <c r="DH11" s="54"/>
      <c r="DP11" s="252" t="b">
        <f>AND((COUNTIF(F27:F30,F28))&gt;1,F28&lt;&gt;0)</f>
        <v>0</v>
      </c>
      <c r="DQ11" s="252" t="b">
        <f>AND((COUNTIF(M27:M30,M28))&gt;1,M28&lt;&gt;0)</f>
        <v>0</v>
      </c>
      <c r="DR11" s="37"/>
      <c r="DU11" s="155"/>
      <c r="DV11" s="155"/>
    </row>
    <row r="12" spans="4:135" s="39" customFormat="1" ht="12" customHeight="1" x14ac:dyDescent="0.2">
      <c r="D12" s="501" t="s">
        <v>19</v>
      </c>
      <c r="E12" s="502"/>
      <c r="F12" s="503"/>
      <c r="G12" s="627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9"/>
      <c r="S12" s="592" t="s">
        <v>28</v>
      </c>
      <c r="T12" s="593"/>
      <c r="U12" s="594"/>
      <c r="V12" s="547"/>
      <c r="W12" s="548"/>
      <c r="X12" s="548"/>
      <c r="Y12" s="548"/>
      <c r="Z12" s="548"/>
      <c r="AA12" s="549"/>
      <c r="AB12" s="455" t="s">
        <v>25</v>
      </c>
      <c r="AC12" s="633"/>
      <c r="AE12" s="40"/>
      <c r="AF12" s="40"/>
      <c r="AG12" s="40"/>
      <c r="AH12" s="40"/>
      <c r="AI12" s="40"/>
      <c r="AJ12" s="41"/>
      <c r="AO12" s="42"/>
      <c r="AU12" s="42"/>
      <c r="AV12" s="41"/>
      <c r="AZ12" s="42"/>
      <c r="BA12" s="41"/>
      <c r="BE12" s="42"/>
      <c r="BP12" s="43"/>
      <c r="BQ12" s="43"/>
      <c r="BR12" s="44"/>
      <c r="BS12" s="45"/>
      <c r="BT12" s="46"/>
      <c r="BU12" s="46"/>
      <c r="BV12" s="46"/>
      <c r="BW12" s="46"/>
      <c r="BX12" s="47"/>
      <c r="BY12" s="47"/>
      <c r="BZ12" s="47"/>
      <c r="CA12" s="47"/>
      <c r="CB12" s="48"/>
      <c r="CC12" s="48"/>
      <c r="CD12" s="48"/>
      <c r="CE12" s="48"/>
      <c r="CF12" s="48"/>
      <c r="CG12" s="48"/>
      <c r="CH12" s="49"/>
      <c r="CI12" s="49"/>
      <c r="CJ12" s="49"/>
      <c r="CK12" s="49"/>
      <c r="CL12" s="50"/>
      <c r="CM12" s="50"/>
      <c r="CN12" s="50"/>
      <c r="CO12" s="50"/>
      <c r="CP12" s="51"/>
      <c r="CQ12" s="51"/>
      <c r="CR12" s="52"/>
      <c r="CS12" s="52"/>
      <c r="CT12" s="52"/>
      <c r="CU12" s="52"/>
      <c r="CV12" s="53"/>
      <c r="CW12" s="45"/>
      <c r="CX12" s="38"/>
      <c r="CY12" s="45"/>
      <c r="CZ12" s="45"/>
      <c r="DA12" s="54"/>
      <c r="DB12" s="54"/>
      <c r="DC12" s="54"/>
      <c r="DD12" s="54"/>
      <c r="DE12" s="54"/>
      <c r="DF12" s="54"/>
      <c r="DG12" s="54"/>
      <c r="DH12" s="54"/>
      <c r="DP12" s="252" t="b">
        <f>AND((COUNTIF(F27:F30,F29))&gt;1,F29&lt;&gt;0)</f>
        <v>0</v>
      </c>
      <c r="DQ12" s="252" t="b">
        <f>AND((COUNTIF(M27:M30,M29))&gt;1,M29&lt;&gt;0)</f>
        <v>0</v>
      </c>
      <c r="DR12" s="54"/>
      <c r="DU12" s="155"/>
      <c r="DV12" s="155"/>
    </row>
    <row r="13" spans="4:135" s="39" customFormat="1" ht="12" customHeight="1" thickBot="1" x14ac:dyDescent="0.25">
      <c r="D13" s="504"/>
      <c r="E13" s="505"/>
      <c r="F13" s="506"/>
      <c r="G13" s="630"/>
      <c r="H13" s="631"/>
      <c r="I13" s="631"/>
      <c r="J13" s="631"/>
      <c r="K13" s="631"/>
      <c r="L13" s="631"/>
      <c r="M13" s="631"/>
      <c r="N13" s="631"/>
      <c r="O13" s="631"/>
      <c r="P13" s="631"/>
      <c r="Q13" s="631"/>
      <c r="R13" s="632"/>
      <c r="S13" s="544" t="s">
        <v>29</v>
      </c>
      <c r="T13" s="545"/>
      <c r="U13" s="546"/>
      <c r="V13" s="550"/>
      <c r="W13" s="551"/>
      <c r="X13" s="551"/>
      <c r="Y13" s="551"/>
      <c r="Z13" s="551"/>
      <c r="AA13" s="552"/>
      <c r="AB13" s="453"/>
      <c r="AC13" s="558"/>
      <c r="AE13" s="40"/>
      <c r="AF13" s="40"/>
      <c r="AG13" s="40"/>
      <c r="AH13" s="40"/>
      <c r="AI13" s="40"/>
      <c r="AJ13" s="41"/>
      <c r="AO13" s="42"/>
      <c r="AU13" s="42"/>
      <c r="AV13" s="41"/>
      <c r="AZ13" s="42"/>
      <c r="BA13" s="41"/>
      <c r="BE13" s="42"/>
      <c r="BP13" s="43"/>
      <c r="BQ13" s="43"/>
      <c r="BR13" s="44"/>
      <c r="BS13" s="45"/>
      <c r="BT13" s="46"/>
      <c r="BU13" s="46"/>
      <c r="BV13" s="46"/>
      <c r="BW13" s="46"/>
      <c r="BX13" s="47"/>
      <c r="BY13" s="47"/>
      <c r="BZ13" s="47"/>
      <c r="CA13" s="47"/>
      <c r="CB13" s="48"/>
      <c r="CC13" s="48"/>
      <c r="CD13" s="48"/>
      <c r="CE13" s="48"/>
      <c r="CF13" s="48"/>
      <c r="CG13" s="48"/>
      <c r="CH13" s="49"/>
      <c r="CI13" s="49"/>
      <c r="CJ13" s="49"/>
      <c r="CK13" s="49"/>
      <c r="CL13" s="50"/>
      <c r="CM13" s="50"/>
      <c r="CN13" s="50"/>
      <c r="CO13" s="50"/>
      <c r="CP13" s="51"/>
      <c r="CQ13" s="51"/>
      <c r="CR13" s="52"/>
      <c r="CS13" s="52"/>
      <c r="CT13" s="52"/>
      <c r="CU13" s="52"/>
      <c r="CV13" s="53"/>
      <c r="CW13" s="45"/>
      <c r="CX13" s="38"/>
      <c r="CY13" s="45"/>
      <c r="CZ13" s="45"/>
      <c r="DA13" s="54"/>
      <c r="DB13" s="54"/>
      <c r="DC13" s="54"/>
      <c r="DD13" s="54"/>
      <c r="DE13" s="54"/>
      <c r="DF13" s="54"/>
      <c r="DG13" s="54"/>
      <c r="DH13" s="54"/>
      <c r="DP13" s="253" t="b">
        <f>AND((COUNTIF(F27:F30,F30))&gt;1,F30&lt;&gt;0)</f>
        <v>0</v>
      </c>
      <c r="DQ13" s="253" t="b">
        <f>AND((COUNTIF(M27:M30,M30))&gt;1,M30&lt;&gt;0)</f>
        <v>0</v>
      </c>
      <c r="DR13" s="37"/>
      <c r="DU13" s="155"/>
      <c r="DV13" s="155"/>
    </row>
    <row r="14" spans="4:135" s="39" customFormat="1" ht="12" customHeight="1" x14ac:dyDescent="0.2">
      <c r="D14" s="560" t="s">
        <v>21</v>
      </c>
      <c r="E14" s="561"/>
      <c r="F14" s="562"/>
      <c r="G14" s="601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3"/>
      <c r="S14" s="593" t="s">
        <v>28</v>
      </c>
      <c r="T14" s="593"/>
      <c r="U14" s="594"/>
      <c r="V14" s="555"/>
      <c r="W14" s="556"/>
      <c r="X14" s="556"/>
      <c r="Y14" s="556"/>
      <c r="Z14" s="556"/>
      <c r="AA14" s="557"/>
      <c r="AB14" s="453" t="s">
        <v>25</v>
      </c>
      <c r="AC14" s="558"/>
      <c r="AE14" s="40"/>
      <c r="AF14" s="40"/>
      <c r="AG14" s="40"/>
      <c r="AH14" s="40"/>
      <c r="AI14" s="40"/>
      <c r="AJ14" s="41"/>
      <c r="AO14" s="42"/>
      <c r="AU14" s="42"/>
      <c r="AV14" s="41"/>
      <c r="AZ14" s="42"/>
      <c r="BA14" s="41"/>
      <c r="BE14" s="42"/>
      <c r="BP14" s="43"/>
      <c r="BQ14" s="43"/>
      <c r="BR14" s="44"/>
      <c r="BS14" s="45"/>
      <c r="BT14" s="46"/>
      <c r="BU14" s="46"/>
      <c r="BV14" s="46"/>
      <c r="BW14" s="46"/>
      <c r="BX14" s="47"/>
      <c r="BY14" s="47"/>
      <c r="BZ14" s="47"/>
      <c r="CA14" s="47"/>
      <c r="CB14" s="48"/>
      <c r="CC14" s="48"/>
      <c r="CD14" s="48"/>
      <c r="CE14" s="48"/>
      <c r="CF14" s="48"/>
      <c r="CG14" s="48"/>
      <c r="CH14" s="49"/>
      <c r="CI14" s="49"/>
      <c r="CJ14" s="49"/>
      <c r="CK14" s="49"/>
      <c r="CL14" s="50"/>
      <c r="CM14" s="50"/>
      <c r="CN14" s="50"/>
      <c r="CO14" s="50"/>
      <c r="CP14" s="51"/>
      <c r="CQ14" s="51"/>
      <c r="CR14" s="52"/>
      <c r="CS14" s="52"/>
      <c r="CT14" s="52"/>
      <c r="CU14" s="52"/>
      <c r="CV14" s="53"/>
      <c r="CW14" s="45"/>
      <c r="CX14" s="38"/>
      <c r="CY14" s="45"/>
      <c r="CZ14" s="45"/>
      <c r="DA14" s="54"/>
      <c r="DB14" s="54"/>
      <c r="DC14" s="54"/>
      <c r="DD14" s="54"/>
      <c r="DE14" s="54"/>
      <c r="DF14" s="54"/>
      <c r="DG14" s="54"/>
      <c r="DH14" s="54"/>
      <c r="DP14" s="289" t="str">
        <f>Soupisky!A1</f>
        <v>DIVIZE</v>
      </c>
      <c r="DQ14" s="54" t="str">
        <f>Soupisky!A2</f>
        <v>KST Klatovy A</v>
      </c>
      <c r="DR14" s="54" t="str">
        <f>Soupisky!B2</f>
        <v>TJ Dobřany A</v>
      </c>
      <c r="DS14" s="54" t="str">
        <f>Soupisky!C2</f>
        <v>TJ Sokol Horažďovice A</v>
      </c>
      <c r="DT14" s="54" t="str">
        <f>Soupisky!D2</f>
        <v>TJ Union Plzeň C</v>
      </c>
      <c r="DU14" s="54" t="str">
        <f>Soupisky!E2</f>
        <v>TJ Union Plzeň B</v>
      </c>
      <c r="DV14" s="54" t="str">
        <f>Soupisky!F2</f>
        <v>KOC Sušice</v>
      </c>
      <c r="DW14" s="54" t="str">
        <f>Soupisky!G2</f>
        <v>TJ Sokol Plzeň V A</v>
      </c>
      <c r="DX14" s="54" t="str">
        <f>Soupisky!H2</f>
        <v>TJ Sokol Plzeň V B</v>
      </c>
      <c r="DY14" s="54" t="str">
        <f>Soupisky!I2</f>
        <v>Dioss Nýřany A</v>
      </c>
      <c r="DZ14" s="54" t="str">
        <f>Soupisky!J2</f>
        <v>TJ Slavoj Stod A</v>
      </c>
      <c r="EA14" s="54" t="str">
        <f>Soupisky!K2</f>
        <v>TJ Sokol Břasy</v>
      </c>
      <c r="EB14" s="54" t="str">
        <f>Soupisky!L2</f>
        <v>SKUŘ Plzeň A</v>
      </c>
      <c r="EC14" s="54">
        <f>Soupisky!M2</f>
        <v>0</v>
      </c>
      <c r="ED14" s="54"/>
      <c r="EE14" s="54"/>
    </row>
    <row r="15" spans="4:135" s="39" customFormat="1" ht="12" customHeight="1" x14ac:dyDescent="0.2">
      <c r="D15" s="563" t="s">
        <v>23</v>
      </c>
      <c r="E15" s="545"/>
      <c r="F15" s="546"/>
      <c r="G15" s="604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6"/>
      <c r="S15" s="545" t="s">
        <v>29</v>
      </c>
      <c r="T15" s="545"/>
      <c r="U15" s="546"/>
      <c r="V15" s="555"/>
      <c r="W15" s="556"/>
      <c r="X15" s="556"/>
      <c r="Y15" s="556"/>
      <c r="Z15" s="556"/>
      <c r="AA15" s="557"/>
      <c r="AB15" s="453"/>
      <c r="AC15" s="558"/>
      <c r="AE15" s="40"/>
      <c r="AF15" s="40"/>
      <c r="AG15" s="40"/>
      <c r="AH15" s="40"/>
      <c r="AI15" s="40"/>
      <c r="AJ15" s="41"/>
      <c r="AO15" s="42"/>
      <c r="AU15" s="42"/>
      <c r="AV15" s="41"/>
      <c r="AZ15" s="42"/>
      <c r="BA15" s="41"/>
      <c r="BE15" s="42"/>
      <c r="BP15" s="43"/>
      <c r="BQ15" s="43"/>
      <c r="BR15" s="44"/>
      <c r="BS15" s="45"/>
      <c r="BT15" s="46"/>
      <c r="BU15" s="46"/>
      <c r="BV15" s="46"/>
      <c r="BW15" s="46"/>
      <c r="BX15" s="47"/>
      <c r="BY15" s="47"/>
      <c r="BZ15" s="47"/>
      <c r="CA15" s="47"/>
      <c r="CB15" s="48"/>
      <c r="CC15" s="48"/>
      <c r="CD15" s="48"/>
      <c r="CE15" s="48"/>
      <c r="CF15" s="48"/>
      <c r="CG15" s="48"/>
      <c r="CH15" s="49"/>
      <c r="CI15" s="49"/>
      <c r="CJ15" s="49"/>
      <c r="CK15" s="49"/>
      <c r="CL15" s="50"/>
      <c r="CM15" s="50"/>
      <c r="CN15" s="50"/>
      <c r="CO15" s="50"/>
      <c r="CP15" s="51"/>
      <c r="CQ15" s="51"/>
      <c r="CR15" s="52"/>
      <c r="CS15" s="52"/>
      <c r="CT15" s="52"/>
      <c r="CU15" s="52"/>
      <c r="CV15" s="53"/>
      <c r="CW15" s="45"/>
      <c r="CX15" s="38"/>
      <c r="CY15" s="45"/>
      <c r="CZ15" s="45"/>
      <c r="DA15" s="54"/>
      <c r="DB15" s="54"/>
      <c r="DC15" s="54"/>
      <c r="DD15" s="54"/>
      <c r="DE15" s="54"/>
      <c r="DF15" s="54"/>
      <c r="DG15" s="54"/>
      <c r="DH15" s="54"/>
      <c r="DP15" s="290" t="str">
        <f>Soupisky!N1</f>
        <v>Krajská soutěž I. třídy</v>
      </c>
      <c r="DQ15" s="54" t="str">
        <f>Soupisky!N2</f>
        <v>SK Jiskra Domažlice B</v>
      </c>
      <c r="DR15" s="54" t="str">
        <f>Soupisky!O2</f>
        <v>TJ Sokol Horažďovice B</v>
      </c>
      <c r="DS15" s="54" t="str">
        <f>Soupisky!P2</f>
        <v>TJ Sokol Lhůta A</v>
      </c>
      <c r="DT15" s="54" t="str">
        <f>Soupisky!Q2</f>
        <v>TJ Sokol Kdyně A</v>
      </c>
      <c r="DU15" s="54" t="str">
        <f>Soupisky!R2</f>
        <v>ST DDM Stříbro A</v>
      </c>
      <c r="DV15" s="54" t="str">
        <f>Soupisky!S2</f>
        <v>TJ Sokol Plzeň V C</v>
      </c>
      <c r="DW15" s="54" t="str">
        <f>Soupisky!T2</f>
        <v>TJ Sokol Horní Bělá A</v>
      </c>
      <c r="DX15" s="54" t="str">
        <f>Soupisky!U2</f>
        <v>SK Nevid A</v>
      </c>
      <c r="DY15" s="54" t="str">
        <f>Soupisky!V2</f>
        <v>TJ Sokol Bor B</v>
      </c>
      <c r="DZ15" s="54" t="str">
        <f>Soupisky!W2</f>
        <v>TJ Sokol Klabava A</v>
      </c>
      <c r="EA15" s="54" t="str">
        <f>Soupisky!X2</f>
        <v>TJ Slavoj Stod B</v>
      </c>
      <c r="EB15" s="54" t="str">
        <f>Soupisky!Y2</f>
        <v>SKUŘ Plzeň B</v>
      </c>
      <c r="EC15" s="54">
        <f>Soupisky!Z2</f>
        <v>0</v>
      </c>
      <c r="ED15" s="54"/>
      <c r="EE15" s="54"/>
    </row>
    <row r="16" spans="4:135" s="39" customFormat="1" ht="12" customHeight="1" x14ac:dyDescent="0.2">
      <c r="D16" s="669" t="s">
        <v>20</v>
      </c>
      <c r="E16" s="462"/>
      <c r="F16" s="463"/>
      <c r="G16" s="607">
        <f ca="1">TODAY()</f>
        <v>42991</v>
      </c>
      <c r="H16" s="461" t="s">
        <v>31</v>
      </c>
      <c r="I16" s="462"/>
      <c r="J16" s="463"/>
      <c r="K16" s="597"/>
      <c r="L16" s="540"/>
      <c r="M16" s="598"/>
      <c r="N16" s="461" t="s">
        <v>36</v>
      </c>
      <c r="O16" s="462"/>
      <c r="P16" s="463"/>
      <c r="Q16" s="540"/>
      <c r="R16" s="541"/>
      <c r="S16" s="655" t="s">
        <v>28</v>
      </c>
      <c r="T16" s="462"/>
      <c r="U16" s="463"/>
      <c r="V16" s="477"/>
      <c r="W16" s="478"/>
      <c r="X16" s="478"/>
      <c r="Y16" s="478"/>
      <c r="Z16" s="478"/>
      <c r="AA16" s="479"/>
      <c r="AB16" s="453" t="s">
        <v>25</v>
      </c>
      <c r="AC16" s="558"/>
      <c r="AE16" s="40"/>
      <c r="AF16" s="40"/>
      <c r="AG16" s="40"/>
      <c r="AH16" s="40"/>
      <c r="AI16" s="40"/>
      <c r="AJ16" s="41"/>
      <c r="AO16" s="42"/>
      <c r="AU16" s="42"/>
      <c r="AV16" s="41"/>
      <c r="AZ16" s="42"/>
      <c r="BA16" s="41"/>
      <c r="BE16" s="42"/>
      <c r="BP16" s="43"/>
      <c r="BQ16" s="43"/>
      <c r="BR16" s="44"/>
      <c r="BS16" s="45"/>
      <c r="BT16" s="46"/>
      <c r="BU16" s="46"/>
      <c r="BV16" s="46"/>
      <c r="BW16" s="46"/>
      <c r="BX16" s="47"/>
      <c r="BY16" s="47"/>
      <c r="BZ16" s="47"/>
      <c r="CA16" s="47"/>
      <c r="CB16" s="48"/>
      <c r="CC16" s="48"/>
      <c r="CD16" s="48"/>
      <c r="CE16" s="48"/>
      <c r="CF16" s="48"/>
      <c r="CG16" s="48"/>
      <c r="CH16" s="49"/>
      <c r="CI16" s="49"/>
      <c r="CJ16" s="49"/>
      <c r="CK16" s="49"/>
      <c r="CL16" s="50"/>
      <c r="CM16" s="50"/>
      <c r="CN16" s="50"/>
      <c r="CO16" s="50"/>
      <c r="CP16" s="51"/>
      <c r="CQ16" s="51"/>
      <c r="CR16" s="52"/>
      <c r="CS16" s="52"/>
      <c r="CT16" s="52"/>
      <c r="CU16" s="52"/>
      <c r="CV16" s="53"/>
      <c r="CW16" s="45"/>
      <c r="CX16" s="38"/>
      <c r="CY16" s="45"/>
      <c r="CZ16" s="45"/>
      <c r="DA16" s="54"/>
      <c r="DB16" s="54"/>
      <c r="DC16" s="54"/>
      <c r="DD16" s="54"/>
      <c r="DE16" s="54"/>
      <c r="DF16" s="54"/>
      <c r="DG16" s="54"/>
      <c r="DH16" s="54"/>
      <c r="DP16" s="290" t="str">
        <f>Soupisky!AA1</f>
        <v>Krajská soutěž II. tř. sk.A</v>
      </c>
      <c r="DQ16" s="54" t="str">
        <f>Soupisky!AA2</f>
        <v>SK Sokol Domažlice C</v>
      </c>
      <c r="DR16" s="54" t="str">
        <f>Soupisky!AB2</f>
        <v>TJ Sokol Lhůta B - Trnová</v>
      </c>
      <c r="DS16" s="54" t="str">
        <f>Soupisky!AC2</f>
        <v>TJ Sokol Kdyně B</v>
      </c>
      <c r="DT16" s="54" t="str">
        <f>Soupisky!AD2</f>
        <v>TJ Sokol Plzeň V D</v>
      </c>
      <c r="DU16" s="54" t="str">
        <f>Soupisky!AE2</f>
        <v>TJ Sokol Plzeň V E</v>
      </c>
      <c r="DV16" s="54" t="str">
        <f>Soupisky!AF2</f>
        <v>Dioss Nýřany B</v>
      </c>
      <c r="DW16" s="54" t="str">
        <f>Soupisky!AG2</f>
        <v>Dioss Nýřany C</v>
      </c>
      <c r="DX16" s="54" t="str">
        <f>Soupisky!AH2</f>
        <v>TJ Slavoj Chodová Planá A</v>
      </c>
      <c r="DY16" s="54" t="str">
        <f>Soupisky!AI2</f>
        <v>KOC Sušice B</v>
      </c>
      <c r="DZ16" s="54" t="str">
        <f>Soupisky!AJ2</f>
        <v>KST Klatovy B</v>
      </c>
      <c r="EA16" s="54" t="str">
        <f>Soupisky!AK2</f>
        <v>TJ Sokol Přeštice A</v>
      </c>
      <c r="EB16" s="54" t="str">
        <f>Soupisky!AL2</f>
        <v>SK Drahotín A</v>
      </c>
      <c r="EC16" s="54" t="str">
        <f>Soupisky!AM2</f>
        <v>TJ Slavoj Stod C</v>
      </c>
      <c r="ED16" s="54" t="str">
        <f>Soupisky!AN2</f>
        <v>TJ Sokol Bor C</v>
      </c>
      <c r="EE16" s="54">
        <f>Soupisky!AO2</f>
        <v>0</v>
      </c>
    </row>
    <row r="17" spans="1:135" s="39" customFormat="1" ht="12" customHeight="1" thickBot="1" x14ac:dyDescent="0.25">
      <c r="D17" s="670"/>
      <c r="E17" s="465"/>
      <c r="F17" s="466"/>
      <c r="G17" s="608"/>
      <c r="H17" s="464" t="s">
        <v>32</v>
      </c>
      <c r="I17" s="465"/>
      <c r="J17" s="466"/>
      <c r="K17" s="599"/>
      <c r="L17" s="542"/>
      <c r="M17" s="600"/>
      <c r="N17" s="464" t="s">
        <v>32</v>
      </c>
      <c r="O17" s="465"/>
      <c r="P17" s="466"/>
      <c r="Q17" s="542"/>
      <c r="R17" s="543"/>
      <c r="S17" s="472" t="s">
        <v>29</v>
      </c>
      <c r="T17" s="465"/>
      <c r="U17" s="466"/>
      <c r="V17" s="450"/>
      <c r="W17" s="451"/>
      <c r="X17" s="451"/>
      <c r="Y17" s="451"/>
      <c r="Z17" s="451"/>
      <c r="AA17" s="452"/>
      <c r="AB17" s="454"/>
      <c r="AC17" s="559"/>
      <c r="AE17" s="40"/>
      <c r="AF17" s="40"/>
      <c r="AG17" s="40"/>
      <c r="AH17" s="40"/>
      <c r="AI17" s="40"/>
      <c r="AJ17" s="41"/>
      <c r="AO17" s="42"/>
      <c r="AU17" s="42"/>
      <c r="AV17" s="41"/>
      <c r="AZ17" s="42"/>
      <c r="BA17" s="41"/>
      <c r="BE17" s="42"/>
      <c r="BP17" s="43"/>
      <c r="BQ17" s="43"/>
      <c r="BR17" s="44"/>
      <c r="BS17" s="45"/>
      <c r="BT17" s="46"/>
      <c r="BU17" s="46"/>
      <c r="BV17" s="46"/>
      <c r="BW17" s="46"/>
      <c r="BX17" s="47"/>
      <c r="BY17" s="47"/>
      <c r="BZ17" s="47"/>
      <c r="CA17" s="47"/>
      <c r="CB17" s="48"/>
      <c r="CC17" s="48"/>
      <c r="CD17" s="48"/>
      <c r="CE17" s="48"/>
      <c r="CF17" s="48"/>
      <c r="CG17" s="48"/>
      <c r="CH17" s="49"/>
      <c r="CI17" s="49"/>
      <c r="CJ17" s="49"/>
      <c r="CK17" s="49"/>
      <c r="CL17" s="50"/>
      <c r="CM17" s="50"/>
      <c r="CN17" s="50"/>
      <c r="CO17" s="50"/>
      <c r="CP17" s="51"/>
      <c r="CQ17" s="51"/>
      <c r="CR17" s="52"/>
      <c r="CS17" s="52"/>
      <c r="CT17" s="52"/>
      <c r="CU17" s="52"/>
      <c r="CV17" s="53"/>
      <c r="CW17" s="45"/>
      <c r="CX17" s="38"/>
      <c r="CY17" s="45"/>
      <c r="CZ17" s="45"/>
      <c r="DA17" s="54"/>
      <c r="DB17" s="54"/>
      <c r="DC17" s="54"/>
      <c r="DD17" s="54"/>
      <c r="DE17" s="54"/>
      <c r="DF17" s="54"/>
      <c r="DG17" s="54"/>
      <c r="DH17" s="54"/>
      <c r="DP17" s="291" t="str">
        <f>Soupisky!AP1</f>
        <v>Krajská soutěž II. tř. sk.B</v>
      </c>
      <c r="DQ17" s="54" t="str">
        <f>Soupisky!AP2</f>
        <v>TJ Hrádek A</v>
      </c>
      <c r="DR17" s="54" t="str">
        <f>Soupisky!AQ2</f>
        <v>TJ Union Plzeň D</v>
      </c>
      <c r="DS17" s="54" t="str">
        <f>Soupisky!AR2</f>
        <v>TJ Dynamo Horšovský Týn A</v>
      </c>
      <c r="DT17" s="54" t="str">
        <f>Soupisky!AS2</f>
        <v>TJ Sokol Pocinovice A</v>
      </c>
      <c r="DU17" s="54" t="str">
        <f>Soupisky!AT2</f>
        <v>ST DDM Stříbro B</v>
      </c>
      <c r="DV17" s="54" t="str">
        <f>Soupisky!AU2</f>
        <v>TJ Město Zbiroh A</v>
      </c>
      <c r="DW17" s="54" t="str">
        <f>Soupisky!AV2</f>
        <v>TJ Sokol Horní Bělá B</v>
      </c>
      <c r="DX17" s="54" t="str">
        <f>Soupisky!AW2</f>
        <v>SK Rokycany A</v>
      </c>
      <c r="DY17" s="54" t="str">
        <f>Soupisky!AX2</f>
        <v>Bageta Dolany A</v>
      </c>
      <c r="DZ17" s="54" t="str">
        <f>Soupisky!AY2</f>
        <v>TJ Sokol Nezvěstice A</v>
      </c>
      <c r="EA17" s="54" t="str">
        <f>Soupisky!AZ2</f>
        <v>TJ Sokol Mirošov A</v>
      </c>
      <c r="EB17" s="54" t="str">
        <f>Soupisky!BA2</f>
        <v>TJ Sokol Těně A</v>
      </c>
      <c r="EC17" s="54" t="str">
        <f>Soupisky!BB2</f>
        <v>SKUŘ Plzeň C</v>
      </c>
      <c r="ED17" s="54" t="str">
        <f>Soupisky!BC2</f>
        <v>TJ Sokol Klabava B</v>
      </c>
      <c r="EE17" s="54">
        <f>Soupisky!BD2</f>
        <v>0</v>
      </c>
    </row>
    <row r="18" spans="1:135" s="55" customFormat="1" ht="14.25" customHeight="1" x14ac:dyDescent="0.2">
      <c r="D18" s="537" t="s">
        <v>22</v>
      </c>
      <c r="E18" s="538"/>
      <c r="F18" s="539"/>
      <c r="G18" s="518" t="s">
        <v>30</v>
      </c>
      <c r="H18" s="533" t="str">
        <f>IF(Z23="","",BH43)</f>
        <v/>
      </c>
      <c r="I18" s="637" t="str">
        <f>IF(Z23="","",":")</f>
        <v/>
      </c>
      <c r="J18" s="553" t="str">
        <f>IF(Z23="","",BI43)</f>
        <v/>
      </c>
      <c r="K18" s="518" t="s">
        <v>33</v>
      </c>
      <c r="L18" s="519"/>
      <c r="M18" s="639" t="str">
        <f>IF(Z23="","",BN43)</f>
        <v/>
      </c>
      <c r="N18" s="640"/>
      <c r="O18" s="535" t="str">
        <f>IF(Z23="","",":")</f>
        <v/>
      </c>
      <c r="P18" s="483" t="str">
        <f>IF(Z23="","",BO43)</f>
        <v/>
      </c>
      <c r="Q18" s="518" t="s">
        <v>34</v>
      </c>
      <c r="R18" s="639" t="str">
        <f>IF(Z23="","",AJ43)</f>
        <v/>
      </c>
      <c r="S18" s="637" t="str">
        <f>IF(Z23="","",":")</f>
        <v/>
      </c>
      <c r="T18" s="663" t="str">
        <f>IF(Z23="","",AP43)</f>
        <v/>
      </c>
      <c r="U18" s="664"/>
      <c r="V18" s="518" t="s">
        <v>35</v>
      </c>
      <c r="W18" s="519"/>
      <c r="X18" s="527" t="str">
        <f>IF(H18=10,G10,IF(J18=10,G12,IF(AND(H18=9,J18=9),"NEROZHODNĚ","")))</f>
        <v/>
      </c>
      <c r="Y18" s="528"/>
      <c r="Z18" s="528"/>
      <c r="AA18" s="528"/>
      <c r="AB18" s="528"/>
      <c r="AC18" s="529"/>
      <c r="AE18" s="57"/>
      <c r="AF18" s="57"/>
      <c r="AG18" s="57"/>
      <c r="AH18" s="57"/>
      <c r="AI18" s="57"/>
      <c r="AJ18" s="58"/>
      <c r="AO18" s="59"/>
      <c r="AU18" s="59"/>
      <c r="AV18" s="58"/>
      <c r="AZ18" s="59"/>
      <c r="BA18" s="58"/>
      <c r="BE18" s="59"/>
      <c r="BP18" s="60"/>
      <c r="BQ18" s="60"/>
      <c r="BR18" s="61"/>
      <c r="BS18" s="62"/>
      <c r="BT18" s="63"/>
      <c r="BU18" s="63"/>
      <c r="BV18" s="63"/>
      <c r="BW18" s="63"/>
      <c r="BX18" s="64"/>
      <c r="BY18" s="64"/>
      <c r="BZ18" s="64"/>
      <c r="CA18" s="64"/>
      <c r="CB18" s="65"/>
      <c r="CC18" s="65"/>
      <c r="CD18" s="65"/>
      <c r="CE18" s="65"/>
      <c r="CF18" s="65"/>
      <c r="CG18" s="65"/>
      <c r="CH18" s="66"/>
      <c r="CI18" s="66"/>
      <c r="CJ18" s="66"/>
      <c r="CK18" s="66"/>
      <c r="CL18" s="67"/>
      <c r="CM18" s="67"/>
      <c r="CN18" s="67"/>
      <c r="CO18" s="67"/>
      <c r="CP18" s="68"/>
      <c r="CQ18" s="68"/>
      <c r="CR18" s="69"/>
      <c r="CS18" s="69"/>
      <c r="CT18" s="69"/>
      <c r="CU18" s="69"/>
      <c r="CV18" s="70"/>
      <c r="CW18" s="62"/>
      <c r="CX18" s="71"/>
      <c r="CY18" s="62"/>
      <c r="CZ18" s="62"/>
      <c r="DA18" s="56"/>
      <c r="DB18" s="56"/>
      <c r="DC18" s="56"/>
      <c r="DD18" s="56"/>
      <c r="DE18" s="56"/>
      <c r="DF18" s="56"/>
      <c r="DG18" s="56"/>
      <c r="DH18" s="56"/>
      <c r="DQ18" s="56"/>
      <c r="DR18" s="56"/>
      <c r="DU18" s="156"/>
      <c r="DV18" s="156"/>
    </row>
    <row r="19" spans="1:135" s="39" customFormat="1" ht="14.25" customHeight="1" thickBot="1" x14ac:dyDescent="0.25">
      <c r="D19" s="480" t="s">
        <v>24</v>
      </c>
      <c r="E19" s="481"/>
      <c r="F19" s="482"/>
      <c r="G19" s="520"/>
      <c r="H19" s="534"/>
      <c r="I19" s="638"/>
      <c r="J19" s="554"/>
      <c r="K19" s="520"/>
      <c r="L19" s="521"/>
      <c r="M19" s="641"/>
      <c r="N19" s="642"/>
      <c r="O19" s="536"/>
      <c r="P19" s="484"/>
      <c r="Q19" s="520"/>
      <c r="R19" s="641"/>
      <c r="S19" s="638"/>
      <c r="T19" s="665"/>
      <c r="U19" s="666"/>
      <c r="V19" s="520"/>
      <c r="W19" s="521"/>
      <c r="X19" s="530"/>
      <c r="Y19" s="531"/>
      <c r="Z19" s="531"/>
      <c r="AA19" s="531"/>
      <c r="AB19" s="531"/>
      <c r="AC19" s="532"/>
      <c r="AE19" s="40"/>
      <c r="AF19" s="40"/>
      <c r="AG19" s="40"/>
      <c r="AH19" s="40"/>
      <c r="AI19" s="40"/>
      <c r="AJ19" s="41"/>
      <c r="AO19" s="42"/>
      <c r="AU19" s="42"/>
      <c r="AV19" s="41"/>
      <c r="AZ19" s="42"/>
      <c r="BA19" s="41"/>
      <c r="BE19" s="42"/>
      <c r="BP19" s="43"/>
      <c r="BQ19" s="43"/>
      <c r="BR19" s="44"/>
      <c r="BS19" s="45"/>
      <c r="BT19" s="46"/>
      <c r="BU19" s="46"/>
      <c r="BV19" s="46"/>
      <c r="BW19" s="46"/>
      <c r="BX19" s="47"/>
      <c r="BY19" s="47"/>
      <c r="BZ19" s="47"/>
      <c r="CA19" s="47"/>
      <c r="CB19" s="48"/>
      <c r="CC19" s="48"/>
      <c r="CD19" s="48"/>
      <c r="CE19" s="48"/>
      <c r="CF19" s="48"/>
      <c r="CG19" s="48"/>
      <c r="CH19" s="49"/>
      <c r="CI19" s="49"/>
      <c r="CJ19" s="49"/>
      <c r="CK19" s="49"/>
      <c r="CL19" s="50"/>
      <c r="CM19" s="50"/>
      <c r="CN19" s="50"/>
      <c r="CO19" s="50"/>
      <c r="CP19" s="51"/>
      <c r="CQ19" s="51"/>
      <c r="CR19" s="52"/>
      <c r="CS19" s="52"/>
      <c r="CT19" s="52"/>
      <c r="CU19" s="52"/>
      <c r="CV19" s="53"/>
      <c r="CW19" s="45"/>
      <c r="CX19" s="38"/>
      <c r="CY19" s="45"/>
      <c r="CZ19" s="45"/>
      <c r="DA19" s="54"/>
      <c r="DB19" s="54"/>
      <c r="DC19" s="54"/>
      <c r="DD19" s="54"/>
      <c r="DE19" s="54"/>
      <c r="DF19" s="54"/>
      <c r="DG19" s="54"/>
      <c r="DH19" s="54"/>
      <c r="DQ19" s="54"/>
      <c r="DR19" s="54"/>
      <c r="DU19" s="155"/>
      <c r="DV19" s="155"/>
    </row>
    <row r="20" spans="1:135" s="39" customFormat="1" ht="10.5" customHeight="1" thickTop="1" thickBot="1" x14ac:dyDescent="0.25">
      <c r="D20" s="54"/>
      <c r="AE20" s="40"/>
      <c r="AF20" s="40"/>
      <c r="AG20" s="40"/>
      <c r="AH20" s="40"/>
      <c r="AI20" s="40"/>
      <c r="AJ20" s="41"/>
      <c r="AO20" s="42"/>
      <c r="AU20" s="42"/>
      <c r="AV20" s="41"/>
      <c r="AZ20" s="42"/>
      <c r="BA20" s="41"/>
      <c r="BE20" s="42"/>
      <c r="BP20" s="43"/>
      <c r="BQ20" s="43"/>
      <c r="BR20" s="44"/>
      <c r="BS20" s="45"/>
      <c r="BT20" s="46"/>
      <c r="BU20" s="46"/>
      <c r="BV20" s="46"/>
      <c r="BW20" s="46"/>
      <c r="BX20" s="47"/>
      <c r="BY20" s="47"/>
      <c r="BZ20" s="47"/>
      <c r="CA20" s="47"/>
      <c r="CB20" s="48"/>
      <c r="CC20" s="48"/>
      <c r="CD20" s="48"/>
      <c r="CE20" s="48"/>
      <c r="CF20" s="48"/>
      <c r="CG20" s="48"/>
      <c r="CH20" s="49"/>
      <c r="CI20" s="49"/>
      <c r="CJ20" s="49"/>
      <c r="CK20" s="49"/>
      <c r="CL20" s="50"/>
      <c r="CM20" s="50"/>
      <c r="CN20" s="50"/>
      <c r="CO20" s="50"/>
      <c r="CP20" s="51"/>
      <c r="CQ20" s="51"/>
      <c r="CR20" s="52"/>
      <c r="CS20" s="52"/>
      <c r="CT20" s="52"/>
      <c r="CU20" s="52"/>
      <c r="CV20" s="53"/>
      <c r="CW20" s="45"/>
      <c r="CX20" s="38"/>
      <c r="CY20" s="45"/>
      <c r="CZ20" s="45"/>
      <c r="DA20" s="54"/>
      <c r="DB20" s="54"/>
      <c r="DC20" s="54"/>
      <c r="DD20" s="54"/>
      <c r="DE20" s="54"/>
      <c r="DF20" s="54"/>
      <c r="DG20" s="54"/>
      <c r="DH20" s="54"/>
      <c r="DR20" s="39">
        <v>1</v>
      </c>
      <c r="DS20" s="39">
        <v>2</v>
      </c>
      <c r="DT20" s="39">
        <v>3</v>
      </c>
      <c r="DU20" s="39">
        <v>4</v>
      </c>
      <c r="DV20" s="39">
        <v>5</v>
      </c>
      <c r="DW20" s="39">
        <v>6</v>
      </c>
      <c r="DX20" s="39">
        <v>7</v>
      </c>
      <c r="DY20" s="39">
        <v>8</v>
      </c>
      <c r="DZ20" s="39">
        <v>9</v>
      </c>
      <c r="EA20" s="39">
        <v>10</v>
      </c>
      <c r="EB20" s="39">
        <v>11</v>
      </c>
      <c r="EC20" s="39">
        <v>12</v>
      </c>
      <c r="ED20" s="39">
        <v>13</v>
      </c>
      <c r="EE20" s="39">
        <v>14</v>
      </c>
    </row>
    <row r="21" spans="1:135" s="39" customFormat="1" ht="15" customHeight="1" thickTop="1" thickBot="1" x14ac:dyDescent="0.25">
      <c r="D21" s="524" t="s">
        <v>41</v>
      </c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6"/>
      <c r="AE21" s="40"/>
      <c r="AF21" s="40"/>
      <c r="AG21" s="40"/>
      <c r="AH21" s="40"/>
      <c r="AI21" s="40"/>
      <c r="AJ21" s="41"/>
      <c r="AO21" s="42"/>
      <c r="AU21" s="42"/>
      <c r="AV21" s="41"/>
      <c r="AZ21" s="42"/>
      <c r="BA21" s="41"/>
      <c r="BE21" s="42"/>
      <c r="BP21" s="43"/>
      <c r="BQ21" s="43"/>
      <c r="BR21" s="44"/>
      <c r="BS21" s="45"/>
      <c r="BT21" s="46"/>
      <c r="BU21" s="46"/>
      <c r="BV21" s="46"/>
      <c r="BW21" s="46"/>
      <c r="BX21" s="47"/>
      <c r="BY21" s="47"/>
      <c r="BZ21" s="47"/>
      <c r="CA21" s="47"/>
      <c r="CB21" s="48"/>
      <c r="CC21" s="48"/>
      <c r="CD21" s="48"/>
      <c r="CE21" s="48"/>
      <c r="CF21" s="48"/>
      <c r="CG21" s="48"/>
      <c r="CH21" s="49"/>
      <c r="CI21" s="49"/>
      <c r="CJ21" s="49"/>
      <c r="CK21" s="49"/>
      <c r="CL21" s="50"/>
      <c r="CM21" s="50"/>
      <c r="CN21" s="50"/>
      <c r="CO21" s="50"/>
      <c r="CP21" s="51"/>
      <c r="CQ21" s="51"/>
      <c r="CR21" s="52"/>
      <c r="CS21" s="52"/>
      <c r="CT21" s="52"/>
      <c r="CU21" s="52"/>
      <c r="CV21" s="53"/>
      <c r="CW21" s="45"/>
      <c r="CX21" s="38"/>
      <c r="CY21" s="45"/>
      <c r="CZ21" s="45"/>
      <c r="DA21" s="54"/>
      <c r="DB21" s="54"/>
      <c r="DC21" s="54"/>
      <c r="DD21" s="54"/>
      <c r="DE21" s="54"/>
      <c r="DF21" s="54"/>
      <c r="DG21" s="54"/>
      <c r="DH21" s="54"/>
      <c r="DP21" s="410" t="e">
        <f>HLOOKUP(G10,DR21:EE39,1,FALSE)</f>
        <v>#N/A</v>
      </c>
      <c r="DQ21" s="411" t="e">
        <f>HLOOKUP(G12,DR21:EE39,1,FALSE)</f>
        <v>#N/A</v>
      </c>
      <c r="DR21" s="412" t="str">
        <f>IF(P8="DIVIZE",Soupisky!A2,IF(P8="Krajská soutěž I. Třídy",Soupisky!N2,IF(P8="Krajská soutěž II. tř. sk.A",Soupisky!AA2,IF(P8="Krajská soutěž II. tř. sk.B",Soupisky!AP2,""))))</f>
        <v/>
      </c>
      <c r="DS21" s="412" t="str">
        <f>IF(P8="DIVIZE",Soupisky!B2,IF(P8="Krajská soutěž I. Třídy",Soupisky!O2,IF(P8="Krajská soutěž II. tř. sk.A",Soupisky!AB2,IF(P8="Krajská soutěž II. tř. sk.B",Soupisky!AQ2,""))))</f>
        <v/>
      </c>
      <c r="DT21" s="412" t="str">
        <f>IF(P8="DIVIZE",Soupisky!C2,IF(P8="Krajská soutěž I. Třídy",Soupisky!P2,IF(P8="Krajská soutěž II. tř. sk.A",Soupisky!AC2,IF(P8="Krajská soutěž II. tř. sk.B",Soupisky!AR2,""))))</f>
        <v/>
      </c>
      <c r="DU21" s="412" t="str">
        <f>IF(P8="DIVIZE",Soupisky!D2,IF(P8="Krajská soutěž I. Třídy",Soupisky!Q2,IF(P8="Krajská soutěž II. tř. sk.A",Soupisky!AD2,IF(P8="Krajská soutěž II. tř. sk.B",Soupisky!AS2,""))))</f>
        <v/>
      </c>
      <c r="DV21" s="412" t="str">
        <f>IF(P8="DIVIZE",Soupisky!E2,IF(P8="Krajská soutěž I. Třídy",Soupisky!R2,IF(P8="Krajská soutěž II. tř. sk.A",Soupisky!AE2,IF(P8="Krajská soutěž II. tř. sk.B",Soupisky!AT2,""))))</f>
        <v/>
      </c>
      <c r="DW21" s="412" t="str">
        <f>IF(P8="DIVIZE",Soupisky!F2,IF(P8="Krajská soutěž I. Třídy",Soupisky!S2,IF(P8="Krajská soutěž II. tř. sk.A",Soupisky!AF2,IF(P8="Krajská soutěž II. tř. sk.B",Soupisky!AU2,""))))</f>
        <v/>
      </c>
      <c r="DX21" s="412" t="str">
        <f>IF(P8="DIVIZE",Soupisky!G2,IF(P8="Krajská soutěž I. Třídy",Soupisky!T2,IF(P8="Krajská soutěž II. tř. sk.A",Soupisky!AG2,IF(P8="Krajská soutěž II. tř. sk.B",Soupisky!AV2,""))))</f>
        <v/>
      </c>
      <c r="DY21" s="412" t="str">
        <f>IF(P8="DIVIZE",Soupisky!H2,IF(P8="Krajská soutěž I. Třídy",Soupisky!U2,IF(P8="Krajská soutěž II. tř. sk.A",Soupisky!AH2,IF(P8="Krajská soutěž II. tř. sk.B",Soupisky!AW2,""))))</f>
        <v/>
      </c>
      <c r="DZ21" s="412" t="str">
        <f>IF(P8="DIVIZE",Soupisky!I2,IF(P8="Krajská soutěž I. Třídy",Soupisky!V2,IF(P8="Krajská soutěž II. tř. sk.A",Soupisky!AI2,IF(P8="Krajská soutěž II. tř. sk.B",Soupisky!AX2,""))))</f>
        <v/>
      </c>
      <c r="EA21" s="412" t="str">
        <f>IF(P8="DIVIZE",Soupisky!J2,IF(P8="Krajská soutěž I. Třídy",Soupisky!W2,IF(P8="Krajská soutěž II. tř. sk.A",Soupisky!AJ2,IF(P8="Krajská soutěž II. tř. sk.B",Soupisky!AY2,""))))</f>
        <v/>
      </c>
      <c r="EB21" s="412" t="str">
        <f>IF(P8="DIVIZE",Soupisky!K2,IF(P8="Krajská soutěž I. Třídy",Soupisky!X2,IF(P8="Krajská soutěž II. tř. sk.A",Soupisky!AK2,IF(P8="Krajská soutěž II. tř. sk.B",Soupisky!AZ2,""))))</f>
        <v/>
      </c>
      <c r="EC21" s="412" t="str">
        <f>IF(P8="DIVIZE",Soupisky!L2,IF(P8="Krajská soutěž I. Třídy",Soupisky!Y2,IF(P8="Krajská soutěž II. tř. sk.A",Soupisky!AL2,IF(P8="Krajská soutěž II. tř. sk.B",Soupisky!BA2,""))))</f>
        <v/>
      </c>
      <c r="ED21" s="413" t="str">
        <f>IF(P8="DIVIZE",Soupisky!M2,IF(P8="Krajská soutěž I. Třídy",Soupisky!M23,IF(P8="Krajská soutěž II. tř. sk.A",Soupisky!AM2,IF(P8="Krajská soutěž II. tř. sk.B",Soupisky!BB2,""))))</f>
        <v/>
      </c>
      <c r="EE21" s="414" t="str">
        <f>IF(P8="DIVIZE",Soupisky!#REF!,IF(P8="Krajská soutěž I. Třídy",Soupisky!N23,IF(P8="Krajská soutěž II. tř. sk.A",Soupisky!AN2,IF(P8="Krajská soutěž II. tř. sk.B",Soupisky!BC2,""))))</f>
        <v/>
      </c>
    </row>
    <row r="22" spans="1:135" s="39" customFormat="1" ht="15" customHeight="1" thickBot="1" x14ac:dyDescent="0.25">
      <c r="B22" s="45"/>
      <c r="C22" s="54"/>
      <c r="D22" s="72" t="s">
        <v>37</v>
      </c>
      <c r="E22" s="522" t="s">
        <v>38</v>
      </c>
      <c r="F22" s="515"/>
      <c r="G22" s="515"/>
      <c r="H22" s="515"/>
      <c r="I22" s="515"/>
      <c r="J22" s="515"/>
      <c r="K22" s="667"/>
      <c r="L22" s="522" t="s">
        <v>39</v>
      </c>
      <c r="M22" s="515"/>
      <c r="N22" s="515"/>
      <c r="O22" s="515"/>
      <c r="P22" s="515"/>
      <c r="Q22" s="515"/>
      <c r="R22" s="515"/>
      <c r="S22" s="515"/>
      <c r="T22" s="515"/>
      <c r="U22" s="516" t="s">
        <v>40</v>
      </c>
      <c r="V22" s="515"/>
      <c r="W22" s="515"/>
      <c r="X22" s="515"/>
      <c r="Y22" s="523"/>
      <c r="Z22" s="515" t="s">
        <v>33</v>
      </c>
      <c r="AA22" s="515"/>
      <c r="AB22" s="516" t="s">
        <v>30</v>
      </c>
      <c r="AC22" s="517"/>
      <c r="AD22" s="77"/>
      <c r="AE22" s="78"/>
      <c r="AF22" s="78"/>
      <c r="AG22" s="78"/>
      <c r="AH22" s="78"/>
      <c r="AI22" s="78"/>
      <c r="AJ22" s="79"/>
      <c r="AK22" s="80"/>
      <c r="AL22" s="81"/>
      <c r="AM22" s="81"/>
      <c r="AN22" s="81"/>
      <c r="AO22" s="82"/>
      <c r="AP22" s="83"/>
      <c r="AQ22" s="80"/>
      <c r="AR22" s="80"/>
      <c r="AS22" s="80"/>
      <c r="AT22" s="80"/>
      <c r="AU22" s="84"/>
      <c r="AV22" s="85"/>
      <c r="AW22" s="80"/>
      <c r="AX22" s="80"/>
      <c r="AY22" s="80"/>
      <c r="AZ22" s="84"/>
      <c r="BA22" s="85"/>
      <c r="BB22" s="80"/>
      <c r="BC22" s="80"/>
      <c r="BD22" s="80"/>
      <c r="BE22" s="84"/>
      <c r="BF22" s="39" t="s">
        <v>61</v>
      </c>
      <c r="BG22" s="39" t="s">
        <v>61</v>
      </c>
      <c r="BH22" s="39" t="s">
        <v>61</v>
      </c>
      <c r="BI22" s="39" t="s">
        <v>61</v>
      </c>
      <c r="BJ22" s="39" t="s">
        <v>61</v>
      </c>
      <c r="BK22" s="39" t="s">
        <v>61</v>
      </c>
      <c r="BN22" s="39" t="s">
        <v>62</v>
      </c>
      <c r="BO22" s="39" t="s">
        <v>62</v>
      </c>
      <c r="BP22" s="43"/>
      <c r="BQ22" s="43"/>
      <c r="BR22" s="44">
        <f>G10</f>
        <v>0</v>
      </c>
      <c r="BS22" s="45"/>
      <c r="BT22" s="46"/>
      <c r="BU22" s="46"/>
      <c r="BV22" s="46"/>
      <c r="BW22" s="46"/>
      <c r="BX22" s="47"/>
      <c r="BY22" s="47"/>
      <c r="BZ22" s="47"/>
      <c r="CA22" s="47"/>
      <c r="CB22" s="48" t="s">
        <v>68</v>
      </c>
      <c r="CC22" s="48" t="s">
        <v>69</v>
      </c>
      <c r="CD22" s="48"/>
      <c r="CE22" s="48"/>
      <c r="CF22" s="48"/>
      <c r="CG22" s="48"/>
      <c r="CH22" s="49"/>
      <c r="CI22" s="49"/>
      <c r="CJ22" s="49"/>
      <c r="CK22" s="49"/>
      <c r="CL22" s="50"/>
      <c r="CM22" s="50"/>
      <c r="CN22" s="50"/>
      <c r="CO22" s="50"/>
      <c r="CP22" s="51" t="s">
        <v>68</v>
      </c>
      <c r="CQ22" s="51" t="s">
        <v>69</v>
      </c>
      <c r="CR22" s="457" t="s">
        <v>70</v>
      </c>
      <c r="CS22" s="457"/>
      <c r="CT22" s="52"/>
      <c r="CU22" s="52"/>
      <c r="CV22" s="53"/>
      <c r="CW22" s="45">
        <f>G12</f>
        <v>0</v>
      </c>
      <c r="CX22" s="38"/>
      <c r="CZ22" s="45"/>
      <c r="DA22" s="444" t="s">
        <v>70</v>
      </c>
      <c r="DB22" s="445"/>
      <c r="DC22" s="445"/>
      <c r="DD22" s="445"/>
      <c r="DE22" s="446"/>
      <c r="DF22" s="444" t="s">
        <v>76</v>
      </c>
      <c r="DG22" s="445"/>
      <c r="DH22" s="446"/>
      <c r="DP22" s="415" t="e">
        <f>HLOOKUP(G10,DR21:EE39,2,FALSE)</f>
        <v>#N/A</v>
      </c>
      <c r="DQ22" s="415" t="e">
        <f>HLOOKUP(G12,DR21:EE39,2,FALSE)</f>
        <v>#N/A</v>
      </c>
      <c r="DR22" s="416" t="e">
        <f>HLOOKUP(DR21,Soupisky!A2:'Soupisky'!BD20,2,FALSE)</f>
        <v>#N/A</v>
      </c>
      <c r="DS22" s="416" t="e">
        <f>HLOOKUP(DS21,Soupisky!B2:'Soupisky'!BE20,2,FALSE)</f>
        <v>#N/A</v>
      </c>
      <c r="DT22" s="416" t="e">
        <f>HLOOKUP(DT21,Soupisky!C2:'Soupisky'!BF20,2,FALSE)</f>
        <v>#N/A</v>
      </c>
      <c r="DU22" s="416" t="e">
        <f>HLOOKUP(DU21,Soupisky!D2:'Soupisky'!BG20,2,FALSE)</f>
        <v>#N/A</v>
      </c>
      <c r="DV22" s="416" t="e">
        <f>HLOOKUP(DV21,Soupisky!E2:'Soupisky'!BH20,2,FALSE)</f>
        <v>#N/A</v>
      </c>
      <c r="DW22" s="416" t="e">
        <f>HLOOKUP(DW21,Soupisky!F2:'Soupisky'!BI20,2,FALSE)</f>
        <v>#N/A</v>
      </c>
      <c r="DX22" s="416" t="e">
        <f>HLOOKUP(DX21,Soupisky!G2:'Soupisky'!BJ20,2,FALSE)</f>
        <v>#N/A</v>
      </c>
      <c r="DY22" s="416" t="e">
        <f>HLOOKUP(DY21,Soupisky!H2:'Soupisky'!BK20,2,FALSE)</f>
        <v>#N/A</v>
      </c>
      <c r="DZ22" s="416" t="e">
        <f>HLOOKUP(DZ21,Soupisky!I2:'Soupisky'!BL20,2,FALSE)</f>
        <v>#N/A</v>
      </c>
      <c r="EA22" s="416" t="e">
        <f>HLOOKUP(EA21,Soupisky!J2:'Soupisky'!BM20,2,FALSE)</f>
        <v>#N/A</v>
      </c>
      <c r="EB22" s="416" t="e">
        <f>HLOOKUP(EB21,Soupisky!K2:'Soupisky'!BN20,2,FALSE)</f>
        <v>#N/A</v>
      </c>
      <c r="EC22" s="416" t="e">
        <f>HLOOKUP(EC21,Soupisky!L2:'Soupisky'!BO20,2,FALSE)</f>
        <v>#N/A</v>
      </c>
      <c r="ED22" s="416" t="e">
        <f>HLOOKUP(ED21,Soupisky!M2:'Soupisky'!BP20,2,FALSE)</f>
        <v>#N/A</v>
      </c>
      <c r="EE22" s="417" t="e">
        <f>HLOOKUP(EE21,Soupisky!#REF!:'Soupisky'!BQ20,2,FALSE)</f>
        <v>#REF!</v>
      </c>
    </row>
    <row r="23" spans="1:135" s="39" customFormat="1" ht="13.5" customHeight="1" x14ac:dyDescent="0.2">
      <c r="A23" s="39" t="str">
        <f>IF(B23="N","N",IF(B22="A","A1","A"))</f>
        <v>A</v>
      </c>
      <c r="B23" s="45" t="str">
        <f>IF(C23="1","N","A")</f>
        <v>A</v>
      </c>
      <c r="C23" s="54" t="str">
        <f t="shared" ref="C23:C42" si="0">IF(OR(AB23="/",AC23="/"),"1","0")</f>
        <v>0</v>
      </c>
      <c r="D23" s="570" t="s">
        <v>0</v>
      </c>
      <c r="E23" s="585" t="s">
        <v>82</v>
      </c>
      <c r="F23" s="586"/>
      <c r="G23" s="656"/>
      <c r="H23" s="656"/>
      <c r="I23" s="656"/>
      <c r="J23" s="656"/>
      <c r="K23" s="657"/>
      <c r="L23" s="585" t="s">
        <v>82</v>
      </c>
      <c r="M23" s="586"/>
      <c r="N23" s="587"/>
      <c r="O23" s="587"/>
      <c r="P23" s="587"/>
      <c r="Q23" s="587"/>
      <c r="R23" s="587"/>
      <c r="S23" s="587"/>
      <c r="T23" s="588"/>
      <c r="U23" s="660"/>
      <c r="V23" s="615"/>
      <c r="W23" s="615"/>
      <c r="X23" s="617"/>
      <c r="Y23" s="495"/>
      <c r="Z23" s="497" t="str">
        <f t="shared" ref="Z23" si="1">IF(AND(AE23="",AF23=""),"",SUM(AV23:AZ23))</f>
        <v/>
      </c>
      <c r="AA23" s="611" t="str">
        <f t="shared" ref="AA23" si="2">IF(AND(AE23="",AF23=""),"",SUM(BA23:BE23))</f>
        <v/>
      </c>
      <c r="AB23" s="613" t="str">
        <f>IF(BH23+BI23=1,BJ23,"")</f>
        <v/>
      </c>
      <c r="AC23" s="491" t="str">
        <f>IF(BH23+BI23=1,BK23,"")</f>
        <v/>
      </c>
      <c r="AD23" s="86"/>
      <c r="AE23" s="87" t="str">
        <f>IF(U23="","",IF(U23="-wo","-wo",IF(U23="-0","x",IF(U23="wo","wo",VALUE(U23)))))</f>
        <v/>
      </c>
      <c r="AF23" s="87" t="str">
        <f>IF(V23="","",IF(V23="-0","x",VALUE(V23)))</f>
        <v/>
      </c>
      <c r="AG23" s="87" t="str">
        <f>IF(W23="","",IF(W23="-0","x",IF(W23="wo","wo",VALUE(W23))))</f>
        <v/>
      </c>
      <c r="AH23" s="87" t="str">
        <f>IF(X23="","",IF(X23="-0","x",IF(X23="wo","wo",VALUE(X23))))</f>
        <v/>
      </c>
      <c r="AI23" s="87" t="str">
        <f>IF(Y23="","",IF(Y23="-0","x",IF(Y23="wo","wo",VALUE(Y23))))</f>
        <v/>
      </c>
      <c r="AJ23" s="88">
        <f>SUM(AK23:AO23)</f>
        <v>0</v>
      </c>
      <c r="AK23" s="89" t="str">
        <f>IF(U23="-0",0,IF(U23="wo",11,IF(U23="-wo",0,IF(AE23="","",IF(AND(AE23&gt;=0,AE23&lt;10),11,0)+IF(AND(AE23&gt;0,AE23&gt;9),AE23+2,0)+IF(AE23&lt;0,-AE23,0)))))</f>
        <v/>
      </c>
      <c r="AL23" s="89" t="str">
        <f>IF(V23="-0",0,IF(U23="wo",11,IF(U23="-wo",0,IF(AF23="","",IF(AND(AF23&gt;=0,AF23&lt;10),11,0)+IF(AND(AF23&gt;0,AF23&gt;9),AF23+2,0)+IF(AF23&lt;0,-AF23,0)))))</f>
        <v/>
      </c>
      <c r="AM23" s="89" t="str">
        <f>IF(W23="-0",0,IF(U23="wo",11,IF(U23="-wo",0,IF(AG23="","",IF(AND(AG23&gt;=0,AG23&lt;10),11,0)+IF(AND(AG23&gt;0,AG23&gt;9),AG23+2,0)+IF(AG23&lt;0,-AG23,0)))))</f>
        <v/>
      </c>
      <c r="AN23" s="89" t="str">
        <f>IF(X23="-0",0,IF(AH23="","",IF(AND(AH23&gt;=0,AH23&lt;10),11,0)+IF(AND(AH23&gt;0,AH23&gt;9),AH23+2,0)+IF(AH23&lt;0,-AH23,0)))</f>
        <v/>
      </c>
      <c r="AO23" s="89" t="str">
        <f>IF(Y23="-0",0,IF(AI23="","",IF(AND(AI23&gt;=0,AI23&lt;10),11,0)+IF(AND(AI23&gt;0,AI23&gt;9),AI23+2,0)+IF(AI23&lt;0,-AI23,0)))</f>
        <v/>
      </c>
      <c r="AP23" s="90">
        <f>SUM(AQ23:AU23)</f>
        <v>0</v>
      </c>
      <c r="AQ23" s="89" t="str">
        <f>IF(U23="-0",11,IF(AE23="wo",0,IF(AE23="-wo",11,IF(AE23="","",IF(AE23&gt;=0,AE23,0)+IF(AND(AE23&lt;0,AE23&lt;-9),-AE23+2,0)+IF(AND(AE23&lt;0,AE23&gt;-10),11,0)))))</f>
        <v/>
      </c>
      <c r="AR23" s="89" t="str">
        <f>IF(V23="-0",11,IF(AE23="wo",0,IF(AE23="-wo",11,IF(AF23="","",IF(AF23&gt;=0,AF23,0)+IF(AND(AF23&lt;0,AF23&lt;-9),-AF23+2,0)+IF(AND(AF23&lt;0,AF23&gt;-10),11,0)))))</f>
        <v/>
      </c>
      <c r="AS23" s="89" t="str">
        <f>IF(W23="-0",11,IF(AE23="wo",0,IF(AE23="-wo",11,IF(AG23="","",IF(AG23&gt;=0,AG23,0)+IF(AND(AG23&lt;0,AG23&lt;-9),-AG23+2,0)+IF(AND(AG23&lt;0,AG23&gt;-10),11,0)))))</f>
        <v/>
      </c>
      <c r="AT23" s="89" t="str">
        <f>IF(X23="-0",11,IF(AH23="","",IF(AH23&gt;=0,AH23,0)+IF(AND(AH23&lt;0,AH23&lt;-9),-AH23+2,0)+IF(AND(AH23&lt;0,AH23&gt;-10),11,0)))</f>
        <v/>
      </c>
      <c r="AU23" s="89" t="str">
        <f>IF(Y23="-0",11,IF(AI23="","",IF(AI23&gt;=0,AI23,0)+IF(AND(AI23&lt;0,AI23&lt;-9),-AI23+2,0)+IF(AND(AI23&lt;0,AI23&gt;-10),11,0)))</f>
        <v/>
      </c>
      <c r="AV23" s="91" t="str">
        <f>IF(AE23="","",IF(AE23="x",0,IF(AE23="wo",3,IF(AE23="-wo",0,IF(AE23&gt;=0,1,0)))))</f>
        <v/>
      </c>
      <c r="AW23" s="89" t="str">
        <f>IF(AF23="","",IF(AF23="x",0,IF(AF23&gt;=0,1,0)))</f>
        <v/>
      </c>
      <c r="AX23" s="89" t="str">
        <f>IF(AG23="","",IF(AG23="x",0,IF(AG23&gt;=0,1,0)))</f>
        <v/>
      </c>
      <c r="AY23" s="89" t="str">
        <f>IF(AH23="","",IF(AH23="x",0,IF(AH23&gt;=0,1,0)))</f>
        <v/>
      </c>
      <c r="AZ23" s="89" t="str">
        <f>IF(AI23="","",IF(AI23="x",0,IF(AI23&gt;=0,1,0)))</f>
        <v/>
      </c>
      <c r="BA23" s="91" t="str">
        <f>IF(AE23="","",IF(AE23="x",1,IF(AE23="wo",0,IF(AE23="-wo",3,IF(AE23&lt;0,1,0)))))</f>
        <v/>
      </c>
      <c r="BB23" s="89" t="str">
        <f>IF(AF23="","",IF(AF23="x",1,IF(AF23&lt;0,1,0)))</f>
        <v/>
      </c>
      <c r="BC23" s="89" t="str">
        <f>IF(AG23="","",IF(AG23="x",1,IF(AG23&lt;0,1,0)))</f>
        <v/>
      </c>
      <c r="BD23" s="89" t="str">
        <f>IF(AH23="","",IF(AH23="x",1,IF(AH23&lt;0,1,0)))</f>
        <v/>
      </c>
      <c r="BE23" s="92" t="str">
        <f>IF(AI23="","",IF(AI23="x",1,IF(AI23&lt;0,1,0)))</f>
        <v/>
      </c>
      <c r="BF23" s="54">
        <f>IF(Z23=3,1,0)</f>
        <v>0</v>
      </c>
      <c r="BG23" s="54">
        <f>IF(AA23=3,1,0)</f>
        <v>0</v>
      </c>
      <c r="BH23" s="93">
        <f>IF(Z23=3,1,0)</f>
        <v>0</v>
      </c>
      <c r="BI23" s="93">
        <f>IF(AA23=3,1,0)</f>
        <v>0</v>
      </c>
      <c r="BJ23" s="39">
        <f>SUM(BF3:BF23)</f>
        <v>0</v>
      </c>
      <c r="BK23" s="39">
        <f>SUM(BG3:BG23)</f>
        <v>0</v>
      </c>
      <c r="BL23" s="39">
        <f>BF23</f>
        <v>0</v>
      </c>
      <c r="BM23" s="39">
        <f>BG23</f>
        <v>0</v>
      </c>
      <c r="BN23" s="39" t="str">
        <f>Z23</f>
        <v/>
      </c>
      <c r="BO23" s="39" t="str">
        <f>AA23</f>
        <v/>
      </c>
      <c r="BP23" s="43">
        <f>IF(Z23=3,3,IF(AA23=3,Z23,0))</f>
        <v>0</v>
      </c>
      <c r="BQ23" s="43">
        <f>IF(AA23=3,3,IF(Z23=3,AA23,0))</f>
        <v>0</v>
      </c>
      <c r="BR23" s="44">
        <f t="shared" ref="BR23:BR30" si="3">F23</f>
        <v>0</v>
      </c>
      <c r="BS23" s="45" t="str">
        <f>E23</f>
        <v>čt.</v>
      </c>
      <c r="BT23" s="46">
        <f t="shared" ref="BT23:BT30" si="4">IF(AE23="WO",0,BF23)</f>
        <v>0</v>
      </c>
      <c r="BU23" s="46"/>
      <c r="BV23" s="46"/>
      <c r="BW23" s="46"/>
      <c r="BX23" s="47">
        <f t="shared" ref="BX23:BX30" si="5">BG23</f>
        <v>0</v>
      </c>
      <c r="BY23" s="47"/>
      <c r="BZ23" s="47"/>
      <c r="CA23" s="47"/>
      <c r="CB23" s="94">
        <f t="shared" ref="CB23:CB30" si="6">SUM(BT23:BW23)</f>
        <v>0</v>
      </c>
      <c r="CC23" s="95">
        <f t="shared" ref="CC23:CC30" si="7">SUM(BX23:CA23)</f>
        <v>0</v>
      </c>
      <c r="CD23" s="94" t="str">
        <f>IF(AE23="WO",0,Z23)</f>
        <v/>
      </c>
      <c r="CE23" s="95" t="str">
        <f>AA23</f>
        <v/>
      </c>
      <c r="CF23" s="94">
        <f>IF(AE23="WO",0,AJ23)</f>
        <v>0</v>
      </c>
      <c r="CG23" s="95">
        <f>AP23</f>
        <v>0</v>
      </c>
      <c r="CH23" s="49">
        <f t="shared" ref="CH23:CH30" si="8">IF(AF23="WO",0,BG23)</f>
        <v>0</v>
      </c>
      <c r="CI23" s="49"/>
      <c r="CJ23" s="49"/>
      <c r="CK23" s="49"/>
      <c r="CL23" s="50">
        <f t="shared" ref="CL23:CL30" si="9">BF23</f>
        <v>0</v>
      </c>
      <c r="CM23" s="50"/>
      <c r="CN23" s="50"/>
      <c r="CO23" s="50"/>
      <c r="CP23" s="96">
        <f t="shared" ref="CP23:CP30" si="10">SUM(CH23:CK23)</f>
        <v>0</v>
      </c>
      <c r="CQ23" s="97">
        <f t="shared" ref="CQ23:CQ30" si="11">SUM(CL23:CO23)</f>
        <v>0</v>
      </c>
      <c r="CR23" s="98" t="str">
        <f>IF(AF23="WO",0,AA23)</f>
        <v/>
      </c>
      <c r="CS23" s="99" t="str">
        <f>Z23</f>
        <v/>
      </c>
      <c r="CT23" s="100">
        <f>IF(AF23="WO",0,AP23)</f>
        <v>0</v>
      </c>
      <c r="CU23" s="99">
        <f>AJ23</f>
        <v>0</v>
      </c>
      <c r="CV23" s="53" t="str">
        <f t="shared" ref="CV23:CV34" si="12">L23</f>
        <v>čt.</v>
      </c>
      <c r="CW23" s="45">
        <f t="shared" ref="CW23:CW30" si="13">M23</f>
        <v>0</v>
      </c>
      <c r="CX23" s="38">
        <f>VLOOKUP("a",A23:AC42,6,FALSE)</f>
        <v>0</v>
      </c>
      <c r="CY23" s="38" t="s">
        <v>55</v>
      </c>
      <c r="CZ23" s="45">
        <f>VLOOKUP("a",A23:AC42,13,FALSE)</f>
        <v>0</v>
      </c>
      <c r="DA23" s="101" t="str">
        <f>IF(VLOOKUP("a",A23:AC42,21,FALSE)="","",VLOOKUP("a",A23:AC42,21,FALSE))</f>
        <v/>
      </c>
      <c r="DB23" s="102" t="str">
        <f>IF(VLOOKUP("a",A23:AC42,22,FALSE)="","",VLOOKUP("a",A23:AC42,22,FALSE))</f>
        <v/>
      </c>
      <c r="DC23" s="102" t="str">
        <f>IF(VLOOKUP("a",A23:AC42,23,FALSE)="","",VLOOKUP("a",A23:AC42,23,FALSE))</f>
        <v/>
      </c>
      <c r="DD23" s="102" t="str">
        <f>IF(VLOOKUP("a",A23:AC42,24,FALSE)="","",VLOOKUP("a",A23:AC42,24,FALSE))</f>
        <v/>
      </c>
      <c r="DE23" s="103" t="str">
        <f>IF(VLOOKUP("a",A23:AC42,25,FALSE)="","",VLOOKUP("a",A23:AC42,25,FALSE))</f>
        <v/>
      </c>
      <c r="DF23" s="104" t="str">
        <f>VLOOKUP("a",A23:AC42,26,FALSE)</f>
        <v/>
      </c>
      <c r="DG23" s="105" t="s">
        <v>72</v>
      </c>
      <c r="DH23" s="106" t="str">
        <f>VLOOKUP("a",A23:AC42,27,FALSE)</f>
        <v/>
      </c>
      <c r="DP23" s="415" t="e">
        <f>HLOOKUP(G10,DR21:EE39,3,FALSE)</f>
        <v>#N/A</v>
      </c>
      <c r="DQ23" s="415" t="e">
        <f>HLOOKUP(G12,DR21:EE39,3,FALSE)</f>
        <v>#N/A</v>
      </c>
      <c r="DR23" s="416" t="e">
        <f>HLOOKUP(DR21,Soupisky!A2:'Soupisky'!BD20,3,FALSE)</f>
        <v>#N/A</v>
      </c>
      <c r="DS23" s="416" t="e">
        <f>HLOOKUP(DS21,Soupisky!B2:'Soupisky'!BE20,3,FALSE)</f>
        <v>#N/A</v>
      </c>
      <c r="DT23" s="416" t="e">
        <f>HLOOKUP(DT21,Soupisky!C2:'Soupisky'!BF20,3,FALSE)</f>
        <v>#N/A</v>
      </c>
      <c r="DU23" s="416" t="e">
        <f>HLOOKUP(DU21,Soupisky!D2:'Soupisky'!BG20,3,FALSE)</f>
        <v>#N/A</v>
      </c>
      <c r="DV23" s="416" t="e">
        <f>HLOOKUP(DV21,Soupisky!E2:'Soupisky'!BH20,3,FALSE)</f>
        <v>#N/A</v>
      </c>
      <c r="DW23" s="416" t="e">
        <f>HLOOKUP(DW21,Soupisky!F2:'Soupisky'!BI20,3,FALSE)</f>
        <v>#N/A</v>
      </c>
      <c r="DX23" s="416" t="e">
        <f>HLOOKUP(DX21,Soupisky!G2:'Soupisky'!BJ20,3,FALSE)</f>
        <v>#N/A</v>
      </c>
      <c r="DY23" s="416" t="e">
        <f>HLOOKUP(DY21,Soupisky!H2:'Soupisky'!BK20,3,FALSE)</f>
        <v>#N/A</v>
      </c>
      <c r="DZ23" s="416" t="e">
        <f>HLOOKUP(DZ21,Soupisky!I2:'Soupisky'!BL20,3,FALSE)</f>
        <v>#N/A</v>
      </c>
      <c r="EA23" s="416" t="e">
        <f>HLOOKUP(EA21,Soupisky!J2:'Soupisky'!BM20,3,FALSE)</f>
        <v>#N/A</v>
      </c>
      <c r="EB23" s="416" t="e">
        <f>HLOOKUP(EB21,Soupisky!K2:'Soupisky'!BN20,3,FALSE)</f>
        <v>#N/A</v>
      </c>
      <c r="EC23" s="416" t="e">
        <f>HLOOKUP(EC21,Soupisky!L2:'Soupisky'!BO20,3,FALSE)</f>
        <v>#N/A</v>
      </c>
      <c r="ED23" s="416" t="e">
        <f>HLOOKUP(ED21,Soupisky!M2:'Soupisky'!BP20,3,FALSE)</f>
        <v>#N/A</v>
      </c>
      <c r="EE23" s="417" t="e">
        <f>HLOOKUP(EE21,Soupisky!#REF!:'Soupisky'!BQ20,3,FALSE)</f>
        <v>#REF!</v>
      </c>
    </row>
    <row r="24" spans="1:135" s="39" customFormat="1" ht="13.5" customHeight="1" x14ac:dyDescent="0.2">
      <c r="B24" s="45"/>
      <c r="C24" s="54"/>
      <c r="D24" s="571"/>
      <c r="E24" s="569"/>
      <c r="F24" s="589"/>
      <c r="G24" s="590"/>
      <c r="H24" s="590"/>
      <c r="I24" s="590"/>
      <c r="J24" s="590"/>
      <c r="K24" s="644"/>
      <c r="L24" s="569"/>
      <c r="M24" s="589"/>
      <c r="N24" s="590"/>
      <c r="O24" s="590"/>
      <c r="P24" s="590"/>
      <c r="Q24" s="590"/>
      <c r="R24" s="590"/>
      <c r="S24" s="590"/>
      <c r="T24" s="591"/>
      <c r="U24" s="661"/>
      <c r="V24" s="616"/>
      <c r="W24" s="616"/>
      <c r="X24" s="616"/>
      <c r="Y24" s="496"/>
      <c r="Z24" s="498"/>
      <c r="AA24" s="612"/>
      <c r="AB24" s="614"/>
      <c r="AC24" s="492"/>
      <c r="AD24" s="86"/>
      <c r="AE24" s="87"/>
      <c r="AF24" s="87"/>
      <c r="AG24" s="87"/>
      <c r="AH24" s="87"/>
      <c r="AI24" s="87"/>
      <c r="AJ24" s="88"/>
      <c r="AK24" s="89"/>
      <c r="AL24" s="89"/>
      <c r="AM24" s="89"/>
      <c r="AN24" s="89"/>
      <c r="AO24" s="89"/>
      <c r="AP24" s="90"/>
      <c r="AQ24" s="89"/>
      <c r="AR24" s="89"/>
      <c r="AS24" s="89"/>
      <c r="AT24" s="89"/>
      <c r="AU24" s="89"/>
      <c r="AV24" s="91"/>
      <c r="AW24" s="89"/>
      <c r="AX24" s="89"/>
      <c r="AY24" s="89"/>
      <c r="AZ24" s="89"/>
      <c r="BA24" s="91"/>
      <c r="BB24" s="89"/>
      <c r="BC24" s="89"/>
      <c r="BD24" s="89"/>
      <c r="BE24" s="92"/>
      <c r="BF24" s="54"/>
      <c r="BG24" s="54"/>
      <c r="BH24" s="93"/>
      <c r="BI24" s="93"/>
      <c r="BP24" s="43"/>
      <c r="BQ24" s="43"/>
      <c r="BR24" s="44">
        <f t="shared" si="3"/>
        <v>0</v>
      </c>
      <c r="BS24" s="45"/>
      <c r="BT24" s="46"/>
      <c r="BU24" s="46"/>
      <c r="BV24" s="46"/>
      <c r="BW24" s="46"/>
      <c r="BX24" s="47"/>
      <c r="BY24" s="47"/>
      <c r="BZ24" s="47"/>
      <c r="CA24" s="47"/>
      <c r="CB24" s="110"/>
      <c r="CC24" s="111"/>
      <c r="CD24" s="110"/>
      <c r="CE24" s="111"/>
      <c r="CF24" s="94"/>
      <c r="CG24" s="95"/>
      <c r="CH24" s="49"/>
      <c r="CI24" s="49"/>
      <c r="CJ24" s="49"/>
      <c r="CK24" s="49"/>
      <c r="CL24" s="50"/>
      <c r="CM24" s="50"/>
      <c r="CN24" s="50"/>
      <c r="CO24" s="50"/>
      <c r="CP24" s="112"/>
      <c r="CQ24" s="51"/>
      <c r="CR24" s="113"/>
      <c r="CS24" s="114"/>
      <c r="CT24" s="52"/>
      <c r="CU24" s="114"/>
      <c r="CV24" s="53"/>
      <c r="CW24" s="45">
        <f t="shared" si="13"/>
        <v>0</v>
      </c>
      <c r="CX24" s="38"/>
      <c r="CY24" s="38"/>
      <c r="CZ24" s="45"/>
      <c r="DA24" s="246"/>
      <c r="DB24" s="239"/>
      <c r="DC24" s="239"/>
      <c r="DD24" s="239"/>
      <c r="DE24" s="247"/>
      <c r="DF24" s="248"/>
      <c r="DG24" s="54"/>
      <c r="DH24" s="249"/>
      <c r="DP24" s="415" t="e">
        <f>HLOOKUP(G10,DR21:EE39,4,FALSE)</f>
        <v>#N/A</v>
      </c>
      <c r="DQ24" s="415" t="e">
        <f>HLOOKUP(G12,DR21:EE39,4,FALSE)</f>
        <v>#N/A</v>
      </c>
      <c r="DR24" s="416" t="e">
        <f>HLOOKUP(DR21,Soupisky!A2:'Soupisky'!BD20,4,FALSE)</f>
        <v>#N/A</v>
      </c>
      <c r="DS24" s="416" t="e">
        <f>HLOOKUP(DS21,Soupisky!B2:'Soupisky'!BE20,4,FALSE)</f>
        <v>#N/A</v>
      </c>
      <c r="DT24" s="416" t="e">
        <f>HLOOKUP(DT21,Soupisky!C2:'Soupisky'!BF20,4,FALSE)</f>
        <v>#N/A</v>
      </c>
      <c r="DU24" s="416" t="e">
        <f>HLOOKUP(DU21,Soupisky!D2:'Soupisky'!BG20,4,FALSE)</f>
        <v>#N/A</v>
      </c>
      <c r="DV24" s="416" t="e">
        <f>HLOOKUP(DV21,Soupisky!E2:'Soupisky'!BH20,4,FALSE)</f>
        <v>#N/A</v>
      </c>
      <c r="DW24" s="416" t="e">
        <f>HLOOKUP(DW21,Soupisky!F2:'Soupisky'!BI20,4,FALSE)</f>
        <v>#N/A</v>
      </c>
      <c r="DX24" s="416" t="e">
        <f>HLOOKUP(DX21,Soupisky!G2:'Soupisky'!BJ20,4,FALSE)</f>
        <v>#N/A</v>
      </c>
      <c r="DY24" s="416" t="e">
        <f>HLOOKUP(DY21,Soupisky!H2:'Soupisky'!BK20,4,FALSE)</f>
        <v>#N/A</v>
      </c>
      <c r="DZ24" s="416" t="e">
        <f>HLOOKUP(DZ21,Soupisky!I2:'Soupisky'!BL20,4,FALSE)</f>
        <v>#N/A</v>
      </c>
      <c r="EA24" s="416" t="e">
        <f>HLOOKUP(EA21,Soupisky!J2:'Soupisky'!BM20,4,FALSE)</f>
        <v>#N/A</v>
      </c>
      <c r="EB24" s="416" t="e">
        <f>HLOOKUP(EB21,Soupisky!K2:'Soupisky'!BN20,4,FALSE)</f>
        <v>#N/A</v>
      </c>
      <c r="EC24" s="416" t="e">
        <f>HLOOKUP(EC21,Soupisky!L2:'Soupisky'!BO20,4,FALSE)</f>
        <v>#N/A</v>
      </c>
      <c r="ED24" s="416" t="e">
        <f>HLOOKUP(ED21,Soupisky!M2:'Soupisky'!BP20,4,FALSE)</f>
        <v>#N/A</v>
      </c>
      <c r="EE24" s="417" t="e">
        <f>HLOOKUP(EE21,Soupisky!#REF!:'Soupisky'!BQ20,4,FALSE)</f>
        <v>#REF!</v>
      </c>
    </row>
    <row r="25" spans="1:135" s="39" customFormat="1" ht="13.5" customHeight="1" x14ac:dyDescent="0.2">
      <c r="B25" s="45"/>
      <c r="C25" s="54"/>
      <c r="D25" s="583" t="s">
        <v>1</v>
      </c>
      <c r="E25" s="568" t="s">
        <v>82</v>
      </c>
      <c r="F25" s="634"/>
      <c r="G25" s="635"/>
      <c r="H25" s="635"/>
      <c r="I25" s="635"/>
      <c r="J25" s="635"/>
      <c r="K25" s="645"/>
      <c r="L25" s="568" t="s">
        <v>82</v>
      </c>
      <c r="M25" s="634"/>
      <c r="N25" s="635"/>
      <c r="O25" s="635"/>
      <c r="P25" s="635"/>
      <c r="Q25" s="635"/>
      <c r="R25" s="635"/>
      <c r="S25" s="635"/>
      <c r="T25" s="636"/>
      <c r="U25" s="658"/>
      <c r="V25" s="493"/>
      <c r="W25" s="493"/>
      <c r="X25" s="493"/>
      <c r="Y25" s="499"/>
      <c r="Z25" s="668" t="str">
        <f>IF(AND(AE26="",AF26=""),"",SUM(AV26:AZ26))</f>
        <v/>
      </c>
      <c r="AA25" s="618" t="str">
        <f>IF(AND(AE26="",AF26=""),"",SUM(BA26:BE26))</f>
        <v/>
      </c>
      <c r="AB25" s="619" t="str">
        <f>IF(BH26+BI26=1,BJ26,"")</f>
        <v/>
      </c>
      <c r="AC25" s="609" t="str">
        <f>IF(BH26+BI26=1,BK26,"")</f>
        <v/>
      </c>
      <c r="AD25" s="86"/>
      <c r="AE25" s="87"/>
      <c r="AF25" s="87"/>
      <c r="AG25" s="87"/>
      <c r="AH25" s="87"/>
      <c r="AI25" s="87"/>
      <c r="AJ25" s="88"/>
      <c r="AK25" s="89"/>
      <c r="AL25" s="89"/>
      <c r="AM25" s="89"/>
      <c r="AN25" s="89"/>
      <c r="AO25" s="89"/>
      <c r="AP25" s="90"/>
      <c r="AQ25" s="89"/>
      <c r="AR25" s="89"/>
      <c r="AS25" s="89"/>
      <c r="AT25" s="89"/>
      <c r="AU25" s="89"/>
      <c r="AV25" s="91"/>
      <c r="AW25" s="89"/>
      <c r="AX25" s="89"/>
      <c r="AY25" s="89"/>
      <c r="AZ25" s="89"/>
      <c r="BA25" s="91"/>
      <c r="BB25" s="89"/>
      <c r="BC25" s="89"/>
      <c r="BD25" s="89"/>
      <c r="BE25" s="92"/>
      <c r="BF25" s="54"/>
      <c r="BG25" s="54"/>
      <c r="BH25" s="93"/>
      <c r="BI25" s="93"/>
      <c r="BP25" s="43"/>
      <c r="BQ25" s="43"/>
      <c r="BR25" s="44">
        <f>F25</f>
        <v>0</v>
      </c>
      <c r="BS25" s="45"/>
      <c r="BT25" s="46"/>
      <c r="BU25" s="46"/>
      <c r="BV25" s="46"/>
      <c r="BW25" s="46"/>
      <c r="BX25" s="47"/>
      <c r="BY25" s="47"/>
      <c r="BZ25" s="47"/>
      <c r="CA25" s="47"/>
      <c r="CB25" s="110"/>
      <c r="CC25" s="111"/>
      <c r="CD25" s="110"/>
      <c r="CE25" s="111"/>
      <c r="CF25" s="94"/>
      <c r="CG25" s="95"/>
      <c r="CH25" s="49"/>
      <c r="CI25" s="49"/>
      <c r="CJ25" s="49"/>
      <c r="CK25" s="49"/>
      <c r="CL25" s="50"/>
      <c r="CM25" s="50"/>
      <c r="CN25" s="50"/>
      <c r="CO25" s="50"/>
      <c r="CP25" s="112"/>
      <c r="CQ25" s="51"/>
      <c r="CR25" s="113"/>
      <c r="CS25" s="114"/>
      <c r="CT25" s="52"/>
      <c r="CU25" s="114"/>
      <c r="CV25" s="53"/>
      <c r="CW25" s="45">
        <f t="shared" si="13"/>
        <v>0</v>
      </c>
      <c r="CX25" s="38"/>
      <c r="CY25" s="38"/>
      <c r="CZ25" s="45"/>
      <c r="DA25" s="246"/>
      <c r="DB25" s="239"/>
      <c r="DC25" s="239"/>
      <c r="DD25" s="239"/>
      <c r="DE25" s="247"/>
      <c r="DF25" s="248"/>
      <c r="DG25" s="54"/>
      <c r="DH25" s="249"/>
      <c r="DP25" s="415" t="e">
        <f>HLOOKUP(G10,DR21:EE39,5,FALSE)</f>
        <v>#N/A</v>
      </c>
      <c r="DQ25" s="415" t="e">
        <f>HLOOKUP(G12,DR21:EE39,5,FALSE)</f>
        <v>#N/A</v>
      </c>
      <c r="DR25" s="416" t="e">
        <f>HLOOKUP(DR21,Soupisky!A2:'Soupisky'!BD20,5,FALSE)</f>
        <v>#N/A</v>
      </c>
      <c r="DS25" s="416" t="e">
        <f>HLOOKUP(DS21,Soupisky!B2:'Soupisky'!BE20,5,FALSE)</f>
        <v>#N/A</v>
      </c>
      <c r="DT25" s="416" t="e">
        <f>HLOOKUP(DT21,Soupisky!C2:'Soupisky'!BF20,5,FALSE)</f>
        <v>#N/A</v>
      </c>
      <c r="DU25" s="416" t="e">
        <f>HLOOKUP(DU21,Soupisky!D2:'Soupisky'!BG20,5,FALSE)</f>
        <v>#N/A</v>
      </c>
      <c r="DV25" s="416" t="e">
        <f>HLOOKUP(DV21,Soupisky!E2:'Soupisky'!BH20,5,FALSE)</f>
        <v>#N/A</v>
      </c>
      <c r="DW25" s="416" t="e">
        <f>HLOOKUP(DW21,Soupisky!F2:'Soupisky'!BI20,5,FALSE)</f>
        <v>#N/A</v>
      </c>
      <c r="DX25" s="416" t="e">
        <f>HLOOKUP(DX21,Soupisky!G2:'Soupisky'!BJ20,5,FALSE)</f>
        <v>#N/A</v>
      </c>
      <c r="DY25" s="416" t="e">
        <f>HLOOKUP(DY21,Soupisky!H2:'Soupisky'!BK20,5,FALSE)</f>
        <v>#N/A</v>
      </c>
      <c r="DZ25" s="416" t="e">
        <f>HLOOKUP(DZ21,Soupisky!I2:'Soupisky'!BL20,5,FALSE)</f>
        <v>#N/A</v>
      </c>
      <c r="EA25" s="416" t="e">
        <f>HLOOKUP(EA21,Soupisky!J2:'Soupisky'!BM20,5,FALSE)</f>
        <v>#N/A</v>
      </c>
      <c r="EB25" s="416" t="e">
        <f>HLOOKUP(EB21,Soupisky!K2:'Soupisky'!BN20,5,FALSE)</f>
        <v>#N/A</v>
      </c>
      <c r="EC25" s="416" t="e">
        <f>HLOOKUP(EC21,Soupisky!L2:'Soupisky'!BO20,5,FALSE)</f>
        <v>#N/A</v>
      </c>
      <c r="ED25" s="416" t="e">
        <f>HLOOKUP(ED21,Soupisky!M2:'Soupisky'!BP20,5,FALSE)</f>
        <v>#N/A</v>
      </c>
      <c r="EE25" s="417" t="e">
        <f>HLOOKUP(EE21,Soupisky!#REF!:'Soupisky'!BQ20,5,FALSE)</f>
        <v>#REF!</v>
      </c>
    </row>
    <row r="26" spans="1:135" s="39" customFormat="1" ht="13.5" customHeight="1" thickBot="1" x14ac:dyDescent="0.25">
      <c r="A26" s="39" t="str">
        <f>IF(B26="N","N",IF(B23="A","A1","A"))</f>
        <v>A1</v>
      </c>
      <c r="B26" s="45" t="str">
        <f>IF(C26="1","N","A")</f>
        <v>A</v>
      </c>
      <c r="C26" s="54" t="str">
        <f>IF(OR(AB25="/",AC25="/"),"1","0")</f>
        <v>0</v>
      </c>
      <c r="D26" s="584"/>
      <c r="E26" s="569"/>
      <c r="F26" s="589"/>
      <c r="G26" s="590"/>
      <c r="H26" s="590"/>
      <c r="I26" s="590"/>
      <c r="J26" s="590"/>
      <c r="K26" s="644"/>
      <c r="L26" s="569"/>
      <c r="M26" s="589"/>
      <c r="N26" s="590"/>
      <c r="O26" s="590"/>
      <c r="P26" s="590"/>
      <c r="Q26" s="590"/>
      <c r="R26" s="590"/>
      <c r="S26" s="590"/>
      <c r="T26" s="591"/>
      <c r="U26" s="659"/>
      <c r="V26" s="494"/>
      <c r="W26" s="494"/>
      <c r="X26" s="494"/>
      <c r="Y26" s="500"/>
      <c r="Z26" s="668"/>
      <c r="AA26" s="618"/>
      <c r="AB26" s="620"/>
      <c r="AC26" s="610"/>
      <c r="AD26" s="86"/>
      <c r="AE26" s="87" t="str">
        <f>IF(U25="","",IF(U25="-wo","-wo",IF(U25="-0","x",IF(U25="wo","wo",VALUE(U25)))))</f>
        <v/>
      </c>
      <c r="AF26" s="87" t="str">
        <f>IF(V25="","",IF(V25="-0","x",VALUE(V25)))</f>
        <v/>
      </c>
      <c r="AG26" s="87" t="str">
        <f>IF(W25="","",IF(W25="-0","x",IF(W25="wo","wo",VALUE(W25))))</f>
        <v/>
      </c>
      <c r="AH26" s="87" t="str">
        <f>IF(X25="","",IF(X25="-0","x",IF(X25="wo","wo",VALUE(X25))))</f>
        <v/>
      </c>
      <c r="AI26" s="87" t="str">
        <f>IF(Y25="","",IF(Y25="-0","x",IF(Y25="wo","wo",VALUE(Y25))))</f>
        <v/>
      </c>
      <c r="AJ26" s="88">
        <f t="shared" ref="AJ26:AJ42" si="14">SUM(AK26:AO26)</f>
        <v>0</v>
      </c>
      <c r="AK26" s="89" t="str">
        <f>IF(U25="-0",0,IF(U25="wo",11,IF(U25="-wo",0,IF(AE26="","",IF(AND(AE26&gt;=0,AE26&lt;10),11,0)+IF(AND(AE26&gt;0,AE26&gt;9),AE26+2,0)+IF(AE26&lt;0,-AE26,0)))))</f>
        <v/>
      </c>
      <c r="AL26" s="89" t="str">
        <f>IF(V25="-0",0,IF(U25="wo",11,IF(U25="-wo",0,IF(AF26="","",IF(AND(AF26&gt;=0,AF26&lt;10),11,0)+IF(AND(AF26&gt;0,AF26&gt;9),AF26+2,0)+IF(AF26&lt;0,-AF26,0)))))</f>
        <v/>
      </c>
      <c r="AM26" s="89" t="str">
        <f>IF(W25="-0",0,IF(U25="wo",11,IF(U25="-wo",0,IF(AG26="","",IF(AND(AG26&gt;=0,AG26&lt;10),11,0)+IF(AND(AG26&gt;0,AG26&gt;9),AG26+2,0)+IF(AG26&lt;0,-AG26,0)))))</f>
        <v/>
      </c>
      <c r="AN26" s="89" t="str">
        <f>IF(X25="-0",0,IF(AH26="","",IF(AND(AH26&gt;=0,AH26&lt;10),11,0)+IF(AND(AH26&gt;0,AH26&gt;9),AH26+2,0)+IF(AH26&lt;0,-AH26,0)))</f>
        <v/>
      </c>
      <c r="AO26" s="89" t="str">
        <f>IF(Y25="-0",0,IF(AI26="","",IF(AND(AI26&gt;=0,AI26&lt;10),11,0)+IF(AND(AI26&gt;0,AI26&gt;9),AI26+2,0)+IF(AI26&lt;0,-AI26,0)))</f>
        <v/>
      </c>
      <c r="AP26" s="90">
        <f t="shared" ref="AP26:AP42" si="15">SUM(AQ26:AU26)</f>
        <v>0</v>
      </c>
      <c r="AQ26" s="89" t="str">
        <f>IF(U25="-0",11,IF(AE26="wo",0,IF(AE26="-wo",11,IF(AE26="","",IF(AE26&gt;=0,AE26,0)+IF(AND(AE26&lt;0,AE26&lt;-9),-AE26+2,0)+IF(AND(AE26&lt;0,AE26&gt;-10),11,0)))))</f>
        <v/>
      </c>
      <c r="AR26" s="89" t="str">
        <f>IF(V25="-0",11,IF(AE26="wo",0,IF(AE26="-wo",11,IF(AF26="","",IF(AF26&gt;=0,AF26,0)+IF(AND(AF26&lt;0,AF26&lt;-9),-AF26+2,0)+IF(AND(AF26&lt;0,AF26&gt;-10),11,0)))))</f>
        <v/>
      </c>
      <c r="AS26" s="89" t="str">
        <f>IF(W25="-0",11,IF(AE26="wo",0,IF(AE26="-wo",11,IF(AG26="","",IF(AG26&gt;=0,AG26,0)+IF(AND(AG26&lt;0,AG26&lt;-9),-AG26+2,0)+IF(AND(AG26&lt;0,AG26&gt;-10),11,0)))))</f>
        <v/>
      </c>
      <c r="AT26" s="89" t="str">
        <f>IF(X25="-0",11,IF(AH26="","",IF(AH26&gt;=0,AH26,0)+IF(AND(AH26&lt;0,AH26&lt;-9),-AH26+2,0)+IF(AND(AH26&lt;0,AH26&gt;-10),11,0)))</f>
        <v/>
      </c>
      <c r="AU26" s="89" t="str">
        <f>IF(Y25="-0",11,IF(AI26="","",IF(AI26&gt;=0,AI26,0)+IF(AND(AI26&lt;0,AI26&lt;-9),-AI26+2,0)+IF(AND(AI26&lt;0,AI26&gt;-10),11,0)))</f>
        <v/>
      </c>
      <c r="AV26" s="91" t="str">
        <f t="shared" ref="AV26:AV42" si="16">IF(AE26="","",IF(AE26="x",0,IF(AE26="wo",3,IF(AE26="-wo",0,IF(AE26&gt;=0,1,0)))))</f>
        <v/>
      </c>
      <c r="AW26" s="89" t="str">
        <f t="shared" ref="AW26:AW42" si="17">IF(AF26="","",IF(AF26="x",0,IF(AF26&gt;=0,1,0)))</f>
        <v/>
      </c>
      <c r="AX26" s="89" t="str">
        <f t="shared" ref="AX26:AX42" si="18">IF(AG26="","",IF(AG26="x",0,IF(AG26&gt;=0,1,0)))</f>
        <v/>
      </c>
      <c r="AY26" s="89" t="str">
        <f t="shared" ref="AY26:AY42" si="19">IF(AH26="","",IF(AH26="x",0,IF(AH26&gt;=0,1,0)))</f>
        <v/>
      </c>
      <c r="AZ26" s="89" t="str">
        <f t="shared" ref="AZ26:AZ42" si="20">IF(AI26="","",IF(AI26="x",0,IF(AI26&gt;=0,1,0)))</f>
        <v/>
      </c>
      <c r="BA26" s="91" t="str">
        <f t="shared" ref="BA26:BA42" si="21">IF(AE26="","",IF(AE26="x",1,IF(AE26="wo",0,IF(AE26="-wo",3,IF(AE26&lt;0,1,0)))))</f>
        <v/>
      </c>
      <c r="BB26" s="89" t="str">
        <f t="shared" ref="BB26:BB42" si="22">IF(AF26="","",IF(AF26="x",1,IF(AF26&lt;0,1,0)))</f>
        <v/>
      </c>
      <c r="BC26" s="89" t="str">
        <f t="shared" ref="BC26:BC42" si="23">IF(AG26="","",IF(AG26="x",1,IF(AG26&lt;0,1,0)))</f>
        <v/>
      </c>
      <c r="BD26" s="89" t="str">
        <f t="shared" ref="BD26:BD42" si="24">IF(AH26="","",IF(AH26="x",1,IF(AH26&lt;0,1,0)))</f>
        <v/>
      </c>
      <c r="BE26" s="92" t="str">
        <f t="shared" ref="BE26:BE42" si="25">IF(AI26="","",IF(AI26="x",1,IF(AI26&lt;0,1,0)))</f>
        <v/>
      </c>
      <c r="BF26" s="54">
        <f>IF(Z25=3,1,0)</f>
        <v>0</v>
      </c>
      <c r="BG26" s="54">
        <f>IF(AA25=3,1,0)</f>
        <v>0</v>
      </c>
      <c r="BH26" s="93">
        <f>IF(Z25=3,1,0)</f>
        <v>0</v>
      </c>
      <c r="BI26" s="93">
        <f>IF(AA25=3,1,0)</f>
        <v>0</v>
      </c>
      <c r="BJ26" s="39">
        <f t="shared" ref="BJ26:BJ34" si="26">SUM(BF4:BF26)</f>
        <v>0</v>
      </c>
      <c r="BK26" s="39">
        <f t="shared" ref="BK26:BK34" si="27">SUM(BG4:BG26)</f>
        <v>0</v>
      </c>
      <c r="BL26" s="39">
        <f>BF26+BL23</f>
        <v>0</v>
      </c>
      <c r="BM26" s="39">
        <f>BG26+BM23</f>
        <v>0</v>
      </c>
      <c r="BN26" s="39" t="str">
        <f>Z25</f>
        <v/>
      </c>
      <c r="BO26" s="39" t="str">
        <f>AA25</f>
        <v/>
      </c>
      <c r="BP26" s="43">
        <f>IF(Z25=3,3,IF(AA25=3,Z25,0))</f>
        <v>0</v>
      </c>
      <c r="BQ26" s="43">
        <f>IF(AA25=3,3,IF(Z25=3,AA25,0))</f>
        <v>0</v>
      </c>
      <c r="BR26" s="44">
        <f>F26</f>
        <v>0</v>
      </c>
      <c r="BS26" s="45" t="str">
        <f>E25</f>
        <v>čt.</v>
      </c>
      <c r="BT26" s="46">
        <f t="shared" si="4"/>
        <v>0</v>
      </c>
      <c r="BU26" s="46"/>
      <c r="BV26" s="46"/>
      <c r="BW26" s="46"/>
      <c r="BX26" s="47">
        <f t="shared" si="5"/>
        <v>0</v>
      </c>
      <c r="BY26" s="47"/>
      <c r="BZ26" s="47"/>
      <c r="CA26" s="47"/>
      <c r="CB26" s="110">
        <f t="shared" si="6"/>
        <v>0</v>
      </c>
      <c r="CC26" s="111">
        <f t="shared" si="7"/>
        <v>0</v>
      </c>
      <c r="CD26" s="110" t="str">
        <f>IF(AE26="WO",0,Z25)</f>
        <v/>
      </c>
      <c r="CE26" s="111" t="str">
        <f>AA25</f>
        <v/>
      </c>
      <c r="CF26" s="94">
        <f>IF(AE26="WO",0,AJ26)</f>
        <v>0</v>
      </c>
      <c r="CG26" s="95">
        <f>AP26</f>
        <v>0</v>
      </c>
      <c r="CH26" s="49">
        <f t="shared" si="8"/>
        <v>0</v>
      </c>
      <c r="CI26" s="49"/>
      <c r="CJ26" s="49"/>
      <c r="CK26" s="49"/>
      <c r="CL26" s="50">
        <f t="shared" si="9"/>
        <v>0</v>
      </c>
      <c r="CM26" s="50"/>
      <c r="CN26" s="50"/>
      <c r="CO26" s="50"/>
      <c r="CP26" s="112">
        <f t="shared" si="10"/>
        <v>0</v>
      </c>
      <c r="CQ26" s="51">
        <f t="shared" si="11"/>
        <v>0</v>
      </c>
      <c r="CR26" s="113" t="str">
        <f>IF(AF26="WO",0,AA25)</f>
        <v/>
      </c>
      <c r="CS26" s="114" t="str">
        <f>Z25</f>
        <v/>
      </c>
      <c r="CT26" s="52">
        <f>IF(AF26="WO",0,AP26)</f>
        <v>0</v>
      </c>
      <c r="CU26" s="114">
        <f>AJ26</f>
        <v>0</v>
      </c>
      <c r="CV26" s="53" t="str">
        <f>L25</f>
        <v>čt.</v>
      </c>
      <c r="CW26" s="45">
        <f t="shared" si="13"/>
        <v>0</v>
      </c>
      <c r="CX26" s="38">
        <f>VLOOKUP("a1",A23:AC42,6,FALSE)</f>
        <v>0</v>
      </c>
      <c r="CY26" s="38" t="s">
        <v>55</v>
      </c>
      <c r="CZ26" s="45">
        <f>VLOOKUP("a1",A23:AC42,13,FALSE)</f>
        <v>0</v>
      </c>
      <c r="DA26" s="115" t="str">
        <f>IF(VLOOKUP("a1",A23:AC42,21,FALSE)="","",VLOOKUP("a1",A23:AC42,21,FALSE))</f>
        <v/>
      </c>
      <c r="DB26" s="116" t="str">
        <f>IF(VLOOKUP("a1",A23:AC42,22,FALSE)="","",VLOOKUP("a1",A23:AC42,22,FALSE))</f>
        <v/>
      </c>
      <c r="DC26" s="116" t="str">
        <f>IF(VLOOKUP("a1",A23:AC42,23,FALSE)="","",VLOOKUP("a1",A23:AC42,23,FALSE))</f>
        <v/>
      </c>
      <c r="DD26" s="116" t="str">
        <f>IF(VLOOKUP("a1",A23:AC42,24,FALSE)="","",VLOOKUP("a1",A23:AC42,24,FALSE))</f>
        <v/>
      </c>
      <c r="DE26" s="73" t="str">
        <f>IF(VLOOKUP("a1",A23:AC42,25,FALSE)="","",VLOOKUP("a1",A23:AC42,25,FALSE))</f>
        <v/>
      </c>
      <c r="DF26" s="75">
        <f>VLOOKUP("a1",A23:AC42,26,FALSE)</f>
        <v>0</v>
      </c>
      <c r="DG26" s="74" t="s">
        <v>72</v>
      </c>
      <c r="DH26" s="76">
        <f>VLOOKUP("a1",A23:AC42,27,FALSE)</f>
        <v>0</v>
      </c>
      <c r="DP26" s="415" t="e">
        <f>HLOOKUP(G10,DR21:EE39,6,FALSE)</f>
        <v>#N/A</v>
      </c>
      <c r="DQ26" s="415" t="e">
        <f>HLOOKUP(G12,DR21:EE39,6,FALSE)</f>
        <v>#N/A</v>
      </c>
      <c r="DR26" s="416" t="e">
        <f>HLOOKUP(DR21,Soupisky!A2:'Soupisky'!BD20,6,FALSE)</f>
        <v>#N/A</v>
      </c>
      <c r="DS26" s="416" t="e">
        <f>HLOOKUP(DS21,Soupisky!B2:'Soupisky'!BE20,6,FALSE)</f>
        <v>#N/A</v>
      </c>
      <c r="DT26" s="416" t="e">
        <f>HLOOKUP(DT21,Soupisky!C2:'Soupisky'!BF20,6,FALSE)</f>
        <v>#N/A</v>
      </c>
      <c r="DU26" s="416" t="e">
        <f>HLOOKUP(DU21,Soupisky!D2:'Soupisky'!BG20,6,FALSE)</f>
        <v>#N/A</v>
      </c>
      <c r="DV26" s="416" t="e">
        <f>HLOOKUP(DV21,Soupisky!E2:'Soupisky'!BH20,6,FALSE)</f>
        <v>#N/A</v>
      </c>
      <c r="DW26" s="416" t="e">
        <f>HLOOKUP(DW21,Soupisky!F2:'Soupisky'!BI20,6,FALSE)</f>
        <v>#N/A</v>
      </c>
      <c r="DX26" s="416" t="e">
        <f>HLOOKUP(DX21,Soupisky!G2:'Soupisky'!BJ20,6,FALSE)</f>
        <v>#N/A</v>
      </c>
      <c r="DY26" s="416" t="e">
        <f>HLOOKUP(DY21,Soupisky!H2:'Soupisky'!BK20,6,FALSE)</f>
        <v>#N/A</v>
      </c>
      <c r="DZ26" s="416" t="e">
        <f>HLOOKUP(DZ21,Soupisky!I2:'Soupisky'!BL20,6,FALSE)</f>
        <v>#N/A</v>
      </c>
      <c r="EA26" s="416" t="e">
        <f>HLOOKUP(EA21,Soupisky!J2:'Soupisky'!BM20,6,FALSE)</f>
        <v>#N/A</v>
      </c>
      <c r="EB26" s="416" t="e">
        <f>HLOOKUP(EB21,Soupisky!K2:'Soupisky'!BN20,6,FALSE)</f>
        <v>#N/A</v>
      </c>
      <c r="EC26" s="416" t="e">
        <f>HLOOKUP(EC21,Soupisky!L2:'Soupisky'!BO20,6,FALSE)</f>
        <v>#N/A</v>
      </c>
      <c r="ED26" s="416" t="e">
        <f>HLOOKUP(ED21,Soupisky!M2:'Soupisky'!BP20,6,FALSE)</f>
        <v>#N/A</v>
      </c>
      <c r="EE26" s="417" t="e">
        <f>HLOOKUP(EE21,Soupisky!#REF!:'Soupisky'!BQ20,6,FALSE)</f>
        <v>#REF!</v>
      </c>
    </row>
    <row r="27" spans="1:135" s="39" customFormat="1" ht="18.75" customHeight="1" x14ac:dyDescent="0.2">
      <c r="A27" s="39" t="str">
        <f>IF(B27="N","N",IF(OR(B23="A",B26="A"),"A1","A"))</f>
        <v>N</v>
      </c>
      <c r="B27" s="45" t="str">
        <f>IF(C27="1","N",IF((C23+C26&gt;0),"a","n"))</f>
        <v>n</v>
      </c>
      <c r="C27" s="54" t="str">
        <f t="shared" si="0"/>
        <v>0</v>
      </c>
      <c r="D27" s="107" t="s">
        <v>2</v>
      </c>
      <c r="E27" s="242"/>
      <c r="F27" s="572"/>
      <c r="G27" s="573"/>
      <c r="H27" s="573"/>
      <c r="I27" s="573"/>
      <c r="J27" s="573"/>
      <c r="K27" s="574"/>
      <c r="L27" s="244"/>
      <c r="M27" s="572"/>
      <c r="N27" s="573"/>
      <c r="O27" s="573"/>
      <c r="P27" s="573"/>
      <c r="Q27" s="573"/>
      <c r="R27" s="573"/>
      <c r="S27" s="573"/>
      <c r="T27" s="581"/>
      <c r="U27" s="204"/>
      <c r="V27" s="203"/>
      <c r="W27" s="203"/>
      <c r="X27" s="203"/>
      <c r="Y27" s="226"/>
      <c r="Z27" s="429" t="str">
        <f t="shared" ref="Z27:Z42" si="28">IF(AND(AE27="",AF27=""),"",SUM(AV27:AZ27))</f>
        <v/>
      </c>
      <c r="AA27" s="428" t="str">
        <f t="shared" ref="AA27:AA42" si="29">IF(AND(AE27="",AF27=""),"",SUM(BA27:BE27))</f>
        <v/>
      </c>
      <c r="AB27" s="229" t="str">
        <f>IF(BH27+BI27=1,BJ27,"")</f>
        <v/>
      </c>
      <c r="AC27" s="427" t="str">
        <f>IF(BH27+BI27=1,BK27,"")</f>
        <v/>
      </c>
      <c r="AD27" s="86"/>
      <c r="AE27" s="87" t="str">
        <f t="shared" ref="AE27:AE42" si="30">IF(U27="","",IF(U27="-wo","-wo",IF(U27="-0","x",IF(U27="wo","wo",VALUE(U27)))))</f>
        <v/>
      </c>
      <c r="AF27" s="87" t="str">
        <f t="shared" ref="AF27:AF42" si="31">IF(V27="","",IF(V27="-0","x",VALUE(V27)))</f>
        <v/>
      </c>
      <c r="AG27" s="87" t="str">
        <f t="shared" ref="AG27:AG42" si="32">IF(W27="","",IF(W27="-0","x",IF(W27="wo","wo",VALUE(W27))))</f>
        <v/>
      </c>
      <c r="AH27" s="87" t="str">
        <f t="shared" ref="AH27:AH42" si="33">IF(X27="","",IF(X27="-0","x",IF(X27="wo","wo",VALUE(X27))))</f>
        <v/>
      </c>
      <c r="AI27" s="87" t="str">
        <f t="shared" ref="AI27:AI42" si="34">IF(Y27="","",IF(Y27="-0","x",IF(Y27="wo","wo",VALUE(Y27))))</f>
        <v/>
      </c>
      <c r="AJ27" s="88">
        <f t="shared" si="14"/>
        <v>0</v>
      </c>
      <c r="AK27" s="89" t="str">
        <f t="shared" ref="AK27:AK42" si="35">IF(U27="-0",0,IF(U27="wo",11,IF(U27="-wo",0,IF(AE27="","",IF(AND(AE27&gt;=0,AE27&lt;10),11,0)+IF(AND(AE27&gt;0,AE27&gt;9),AE27+2,0)+IF(AE27&lt;0,-AE27,0)))))</f>
        <v/>
      </c>
      <c r="AL27" s="89" t="str">
        <f t="shared" ref="AL27:AL42" si="36">IF(V27="-0",0,IF(U27="wo",11,IF(U27="-wo",0,IF(AF27="","",IF(AND(AF27&gt;=0,AF27&lt;10),11,0)+IF(AND(AF27&gt;0,AF27&gt;9),AF27+2,0)+IF(AF27&lt;0,-AF27,0)))))</f>
        <v/>
      </c>
      <c r="AM27" s="89" t="str">
        <f t="shared" ref="AM27:AM42" si="37">IF(W27="-0",0,IF(U27="wo",11,IF(U27="-wo",0,IF(AG27="","",IF(AND(AG27&gt;=0,AG27&lt;10),11,0)+IF(AND(AG27&gt;0,AG27&gt;9),AG27+2,0)+IF(AG27&lt;0,-AG27,0)))))</f>
        <v/>
      </c>
      <c r="AN27" s="89" t="str">
        <f t="shared" ref="AN27:AN34" si="38">IF(X27="-0",0,IF(AH27="","",IF(AND(AH27&gt;=0,AH27&lt;10),11,0)+IF(AND(AH27&gt;0,AH27&gt;9),AH27+2,0)+IF(AH27&lt;0,-AH27,0)))</f>
        <v/>
      </c>
      <c r="AO27" s="89" t="str">
        <f t="shared" ref="AO27:AO34" si="39">IF(Y27="-0",0,IF(AI27="","",IF(AND(AI27&gt;=0,AI27&lt;10),11,0)+IF(AND(AI27&gt;0,AI27&gt;9),AI27+2,0)+IF(AI27&lt;0,-AI27,0)))</f>
        <v/>
      </c>
      <c r="AP27" s="90">
        <f t="shared" si="15"/>
        <v>0</v>
      </c>
      <c r="AQ27" s="89" t="str">
        <f t="shared" ref="AQ27:AQ42" si="40">IF(U27="-0",11,IF(AE27="wo",0,IF(AE27="-wo",11,IF(AE27="","",IF(AE27&gt;=0,AE27,0)+IF(AND(AE27&lt;0,AE27&lt;-9),-AE27+2,0)+IF(AND(AE27&lt;0,AE27&gt;-10),11,0)))))</f>
        <v/>
      </c>
      <c r="AR27" s="89" t="str">
        <f t="shared" ref="AR27:AR42" si="41">IF(V27="-0",11,IF(AE27="wo",0,IF(AE27="-wo",11,IF(AF27="","",IF(AF27&gt;=0,AF27,0)+IF(AND(AF27&lt;0,AF27&lt;-9),-AF27+2,0)+IF(AND(AF27&lt;0,AF27&gt;-10),11,0)))))</f>
        <v/>
      </c>
      <c r="AS27" s="89" t="str">
        <f t="shared" ref="AS27:AS42" si="42">IF(W27="-0",11,IF(AE27="wo",0,IF(AE27="-wo",11,IF(AG27="","",IF(AG27&gt;=0,AG27,0)+IF(AND(AG27&lt;0,AG27&lt;-9),-AG27+2,0)+IF(AND(AG27&lt;0,AG27&gt;-10),11,0)))))</f>
        <v/>
      </c>
      <c r="AT27" s="89" t="str">
        <f t="shared" ref="AT27:AT34" si="43">IF(X27="-0",11,IF(AH27="","",IF(AH27&gt;=0,AH27,0)+IF(AND(AH27&lt;0,AH27&lt;-9),-AH27+2,0)+IF(AND(AH27&lt;0,AH27&gt;-10),11,0)))</f>
        <v/>
      </c>
      <c r="AU27" s="89" t="str">
        <f t="shared" ref="AU27:AU34" si="44">IF(Y27="-0",11,IF(AI27="","",IF(AI27&gt;=0,AI27,0)+IF(AND(AI27&lt;0,AI27&lt;-9),-AI27+2,0)+IF(AND(AI27&lt;0,AI27&gt;-10),11,0)))</f>
        <v/>
      </c>
      <c r="AV27" s="91" t="str">
        <f t="shared" si="16"/>
        <v/>
      </c>
      <c r="AW27" s="89" t="str">
        <f t="shared" si="17"/>
        <v/>
      </c>
      <c r="AX27" s="89" t="str">
        <f t="shared" si="18"/>
        <v/>
      </c>
      <c r="AY27" s="89" t="str">
        <f t="shared" si="19"/>
        <v/>
      </c>
      <c r="AZ27" s="89" t="str">
        <f t="shared" si="20"/>
        <v/>
      </c>
      <c r="BA27" s="91" t="str">
        <f t="shared" si="21"/>
        <v/>
      </c>
      <c r="BB27" s="89" t="str">
        <f t="shared" si="22"/>
        <v/>
      </c>
      <c r="BC27" s="89" t="str">
        <f t="shared" si="23"/>
        <v/>
      </c>
      <c r="BD27" s="89" t="str">
        <f t="shared" si="24"/>
        <v/>
      </c>
      <c r="BE27" s="92" t="str">
        <f t="shared" si="25"/>
        <v/>
      </c>
      <c r="BF27" s="54">
        <f t="shared" ref="BF27:BF42" si="45">IF(Z27=3,1,0)</f>
        <v>0</v>
      </c>
      <c r="BG27" s="54">
        <f t="shared" ref="BG27:BG42" si="46">IF(AA27=3,1,0)</f>
        <v>0</v>
      </c>
      <c r="BH27" s="93">
        <f>IF(Z27=3,1,0)</f>
        <v>0</v>
      </c>
      <c r="BI27" s="93">
        <f>IF(AA27=3,1,0)</f>
        <v>0</v>
      </c>
      <c r="BJ27" s="39">
        <f t="shared" si="26"/>
        <v>0</v>
      </c>
      <c r="BK27" s="39">
        <f t="shared" si="27"/>
        <v>0</v>
      </c>
      <c r="BL27" s="39">
        <f t="shared" ref="BL27:BL42" si="47">BF27+BL26</f>
        <v>0</v>
      </c>
      <c r="BM27" s="39">
        <f t="shared" ref="BM27:BM42" si="48">BG27+BM26</f>
        <v>0</v>
      </c>
      <c r="BN27" s="39" t="str">
        <f t="shared" ref="BN27:BN34" si="49">Z27</f>
        <v/>
      </c>
      <c r="BO27" s="39" t="str">
        <f t="shared" ref="BO27:BO34" si="50">AA27</f>
        <v/>
      </c>
      <c r="BP27" s="43">
        <f t="shared" ref="BP27:BP42" si="51">IF(Z27=3,3,IF(AA27=3,Z27,0))</f>
        <v>0</v>
      </c>
      <c r="BQ27" s="43">
        <f t="shared" ref="BQ27:BQ42" si="52">IF(AA27=3,3,IF(Z27=3,AA27,0))</f>
        <v>0</v>
      </c>
      <c r="BR27" s="44">
        <f t="shared" si="3"/>
        <v>0</v>
      </c>
      <c r="BS27" s="45">
        <f t="shared" ref="BS27:BS34" si="53">E27</f>
        <v>0</v>
      </c>
      <c r="BT27" s="46">
        <f t="shared" si="4"/>
        <v>0</v>
      </c>
      <c r="BU27" s="46">
        <f>IF(BS34="s",0,IF(AE34="WO",0,BF34))</f>
        <v>0</v>
      </c>
      <c r="BV27" s="46">
        <f>IF(BS37="s",0,IF(AE37="WO",0,BF37))</f>
        <v>0</v>
      </c>
      <c r="BW27" s="46">
        <f>IF(BS40="s",0,IF(AE40="WO",0,BF40))</f>
        <v>0</v>
      </c>
      <c r="BX27" s="47">
        <f t="shared" si="5"/>
        <v>0</v>
      </c>
      <c r="BY27" s="47">
        <f>IF(BS34="s",0,BG34)</f>
        <v>0</v>
      </c>
      <c r="BZ27" s="47">
        <f>IF(BS37="s",0,BG37)</f>
        <v>0</v>
      </c>
      <c r="CA27" s="47">
        <f>IF(BS40="s",0,BG40)</f>
        <v>0</v>
      </c>
      <c r="CB27" s="110">
        <f t="shared" si="6"/>
        <v>0</v>
      </c>
      <c r="CC27" s="111">
        <f t="shared" si="7"/>
        <v>0</v>
      </c>
      <c r="CD27" s="110">
        <f>IF(AE27="WO",0,BP27)+IF(BS34="s",0,IF(AE34="WO",0,BP34))+IF(BS37="s",0,IF(AE37="WO",0,BP37))+IF(BS40="s",0,IF(AE40="WO",0,BP40))</f>
        <v>0</v>
      </c>
      <c r="CE27" s="111">
        <f>BQ27+IF(BS34="s",0,BQ34)+IF(BS37="s",0,BQ37)+IF(BS40="s",0,BQ40)</f>
        <v>0</v>
      </c>
      <c r="CF27" s="110">
        <f>IF(AE27="WO",0,AJ27)+IF(BS34="s",0,IF(AE34="WO",0,AJ34))+IF(BS37="s",0,IF(AE37="WO",0,AJ37))+IF(BS40="s",0,IF(AE40="WO",0,AJ40))</f>
        <v>0</v>
      </c>
      <c r="CG27" s="111">
        <f>AP27+IF(BS34="s",0,AP34)+IF(BS37="s",0,AP37)+IF(BS40="s",0,AP40)</f>
        <v>0</v>
      </c>
      <c r="CH27" s="49">
        <f t="shared" si="8"/>
        <v>0</v>
      </c>
      <c r="CI27" s="49">
        <f>IF(CV31="s",0,IF(AF31="WO",0,BG31))</f>
        <v>0</v>
      </c>
      <c r="CJ27" s="49">
        <f>IF(CV35="s",0,IF(AF35="WO",0,BG35))</f>
        <v>0</v>
      </c>
      <c r="CK27" s="49">
        <f>IF(CV39="s",0,IF(AF39="WO",0,BG39))</f>
        <v>0</v>
      </c>
      <c r="CL27" s="50">
        <f t="shared" si="9"/>
        <v>0</v>
      </c>
      <c r="CM27" s="50">
        <f>IF(CV31="s",0,BF31)</f>
        <v>0</v>
      </c>
      <c r="CN27" s="50">
        <f>IF(CV35="s",0,BF35)</f>
        <v>0</v>
      </c>
      <c r="CO27" s="50">
        <f>IF(CV39="s",0,BF39)</f>
        <v>0</v>
      </c>
      <c r="CP27" s="112">
        <f t="shared" si="10"/>
        <v>0</v>
      </c>
      <c r="CQ27" s="51">
        <f t="shared" si="11"/>
        <v>0</v>
      </c>
      <c r="CR27" s="113">
        <f>IF(AF27="WO",0,BQ27)+IF(CV31="s",0,IF(AF31="WO",0,BQ31))+IF(CV35="s",0,IF(AF35="WO",0,BQ35))+IF(CV39="s",0,IF(AF39="WO",0,BQ39))</f>
        <v>0</v>
      </c>
      <c r="CS27" s="114">
        <f>BP27+IF(CV31="s",0,BP31)+IF(CV35="s",0,BP35)+IF(CV39="s",0,BP39)</f>
        <v>0</v>
      </c>
      <c r="CT27" s="52">
        <f>IF(AF27="WO",0,AP27)+IF(CV31="s",0,IF(AF31="WO",0,AP31))+IF(CV35="s",0,IF(AF35="WO",0,AP35))+IF(CV39="s",0,IF(AF27="WO",0,AP39))</f>
        <v>0</v>
      </c>
      <c r="CU27" s="114">
        <f>AJ27+IF(CV31="s",0,AJ31)+IF(CV35="s",0,AJ35)+IF(CV39="s",0,AJ39)</f>
        <v>0</v>
      </c>
      <c r="CV27" s="53">
        <f t="shared" si="12"/>
        <v>0</v>
      </c>
      <c r="CW27" s="45">
        <f t="shared" si="13"/>
        <v>0</v>
      </c>
      <c r="CX27" s="38"/>
      <c r="CZ27" s="45"/>
      <c r="DA27" s="54"/>
      <c r="DB27" s="54"/>
      <c r="DC27" s="54"/>
      <c r="DD27" s="54"/>
      <c r="DE27" s="54"/>
      <c r="DF27" s="54"/>
      <c r="DG27" s="54"/>
      <c r="DH27" s="54"/>
      <c r="DP27" s="415" t="e">
        <f>HLOOKUP(G10,DR21:EE39,7,FALSE)</f>
        <v>#N/A</v>
      </c>
      <c r="DQ27" s="415" t="e">
        <f>HLOOKUP(G12,DR21:EE39,7,FALSE)</f>
        <v>#N/A</v>
      </c>
      <c r="DR27" s="416" t="e">
        <f>HLOOKUP(DR21,Soupisky!A2:'Soupisky'!BD20,7,FALSE)</f>
        <v>#N/A</v>
      </c>
      <c r="DS27" s="416" t="e">
        <f>HLOOKUP(DS21,Soupisky!B2:'Soupisky'!BE20,7,FALSE)</f>
        <v>#N/A</v>
      </c>
      <c r="DT27" s="416" t="e">
        <f>HLOOKUP(DT21,Soupisky!C2:'Soupisky'!BF20,7,FALSE)</f>
        <v>#N/A</v>
      </c>
      <c r="DU27" s="416" t="e">
        <f>HLOOKUP(DU21,Soupisky!D2:'Soupisky'!BG20,7,FALSE)</f>
        <v>#N/A</v>
      </c>
      <c r="DV27" s="416" t="e">
        <f>HLOOKUP(DV21,Soupisky!E2:'Soupisky'!BH20,7,FALSE)</f>
        <v>#N/A</v>
      </c>
      <c r="DW27" s="416" t="e">
        <f>HLOOKUP(DW21,Soupisky!F2:'Soupisky'!BI20,7,FALSE)</f>
        <v>#N/A</v>
      </c>
      <c r="DX27" s="416" t="e">
        <f>HLOOKUP(DX21,Soupisky!G2:'Soupisky'!BJ20,7,FALSE)</f>
        <v>#N/A</v>
      </c>
      <c r="DY27" s="416" t="e">
        <f>HLOOKUP(DY21,Soupisky!H2:'Soupisky'!BK20,7,FALSE)</f>
        <v>#N/A</v>
      </c>
      <c r="DZ27" s="416" t="e">
        <f>HLOOKUP(DZ21,Soupisky!I2:'Soupisky'!BL20,7,FALSE)</f>
        <v>#N/A</v>
      </c>
      <c r="EA27" s="416" t="e">
        <f>HLOOKUP(EA21,Soupisky!J2:'Soupisky'!BM20,7,FALSE)</f>
        <v>#N/A</v>
      </c>
      <c r="EB27" s="416" t="e">
        <f>HLOOKUP(EB21,Soupisky!K2:'Soupisky'!BN20,7,FALSE)</f>
        <v>#N/A</v>
      </c>
      <c r="EC27" s="416" t="e">
        <f>HLOOKUP(EC21,Soupisky!L2:'Soupisky'!BO20,7,FALSE)</f>
        <v>#N/A</v>
      </c>
      <c r="ED27" s="416" t="e">
        <f>HLOOKUP(ED21,Soupisky!M2:'Soupisky'!BP20,7,FALSE)</f>
        <v>#N/A</v>
      </c>
      <c r="EE27" s="417" t="e">
        <f>HLOOKUP(EE21,Soupisky!#REF!:'Soupisky'!BQ20,7,FALSE)</f>
        <v>#REF!</v>
      </c>
    </row>
    <row r="28" spans="1:135" s="39" customFormat="1" ht="18.75" customHeight="1" x14ac:dyDescent="0.2">
      <c r="A28" s="39" t="str">
        <f>IF(B28="N","N",IF(OR(B23="A",B26="A",B27="A"),"A1","A"))</f>
        <v>N</v>
      </c>
      <c r="B28" s="45" t="str">
        <f>IF(C28="1","N",IF((C23+C26+C27&gt;1),"a","n"))</f>
        <v>n</v>
      </c>
      <c r="C28" s="54" t="str">
        <f t="shared" si="0"/>
        <v>0</v>
      </c>
      <c r="D28" s="107" t="s">
        <v>3</v>
      </c>
      <c r="E28" s="242"/>
      <c r="F28" s="572"/>
      <c r="G28" s="573"/>
      <c r="H28" s="573"/>
      <c r="I28" s="573"/>
      <c r="J28" s="573"/>
      <c r="K28" s="574"/>
      <c r="L28" s="244"/>
      <c r="M28" s="572"/>
      <c r="N28" s="573"/>
      <c r="O28" s="573"/>
      <c r="P28" s="573"/>
      <c r="Q28" s="573"/>
      <c r="R28" s="573"/>
      <c r="S28" s="573"/>
      <c r="T28" s="581"/>
      <c r="U28" s="146"/>
      <c r="V28" s="147"/>
      <c r="W28" s="147"/>
      <c r="X28" s="147"/>
      <c r="Y28" s="148"/>
      <c r="Z28" s="429" t="str">
        <f t="shared" si="28"/>
        <v/>
      </c>
      <c r="AA28" s="428" t="str">
        <f t="shared" si="29"/>
        <v/>
      </c>
      <c r="AB28" s="229" t="str">
        <f t="shared" ref="AB28:AB42" si="54">IF(BH28+BI28=1,BJ28,"")</f>
        <v/>
      </c>
      <c r="AC28" s="427" t="str">
        <f t="shared" ref="AC28:AC42" si="55">IF(BH28+BI28=1,BK28,"")</f>
        <v/>
      </c>
      <c r="AD28" s="86"/>
      <c r="AE28" s="87" t="str">
        <f t="shared" si="30"/>
        <v/>
      </c>
      <c r="AF28" s="87" t="str">
        <f t="shared" si="31"/>
        <v/>
      </c>
      <c r="AG28" s="87" t="str">
        <f t="shared" si="32"/>
        <v/>
      </c>
      <c r="AH28" s="87" t="str">
        <f t="shared" si="33"/>
        <v/>
      </c>
      <c r="AI28" s="87" t="str">
        <f t="shared" si="34"/>
        <v/>
      </c>
      <c r="AJ28" s="88">
        <f t="shared" si="14"/>
        <v>0</v>
      </c>
      <c r="AK28" s="89" t="str">
        <f t="shared" si="35"/>
        <v/>
      </c>
      <c r="AL28" s="89" t="str">
        <f t="shared" si="36"/>
        <v/>
      </c>
      <c r="AM28" s="89" t="str">
        <f t="shared" si="37"/>
        <v/>
      </c>
      <c r="AN28" s="89" t="str">
        <f t="shared" si="38"/>
        <v/>
      </c>
      <c r="AO28" s="89" t="str">
        <f t="shared" si="39"/>
        <v/>
      </c>
      <c r="AP28" s="90">
        <f t="shared" si="15"/>
        <v>0</v>
      </c>
      <c r="AQ28" s="89" t="str">
        <f t="shared" si="40"/>
        <v/>
      </c>
      <c r="AR28" s="89" t="str">
        <f t="shared" si="41"/>
        <v/>
      </c>
      <c r="AS28" s="89" t="str">
        <f t="shared" si="42"/>
        <v/>
      </c>
      <c r="AT28" s="89" t="str">
        <f t="shared" si="43"/>
        <v/>
      </c>
      <c r="AU28" s="89" t="str">
        <f t="shared" si="44"/>
        <v/>
      </c>
      <c r="AV28" s="91" t="str">
        <f t="shared" si="16"/>
        <v/>
      </c>
      <c r="AW28" s="89" t="str">
        <f t="shared" si="17"/>
        <v/>
      </c>
      <c r="AX28" s="89" t="str">
        <f t="shared" si="18"/>
        <v/>
      </c>
      <c r="AY28" s="89" t="str">
        <f t="shared" si="19"/>
        <v/>
      </c>
      <c r="AZ28" s="89" t="str">
        <f t="shared" si="20"/>
        <v/>
      </c>
      <c r="BA28" s="91" t="str">
        <f t="shared" si="21"/>
        <v/>
      </c>
      <c r="BB28" s="89" t="str">
        <f t="shared" si="22"/>
        <v/>
      </c>
      <c r="BC28" s="89" t="str">
        <f t="shared" si="23"/>
        <v/>
      </c>
      <c r="BD28" s="89" t="str">
        <f t="shared" si="24"/>
        <v/>
      </c>
      <c r="BE28" s="92" t="str">
        <f t="shared" si="25"/>
        <v/>
      </c>
      <c r="BF28" s="54">
        <f t="shared" si="45"/>
        <v>0</v>
      </c>
      <c r="BG28" s="54">
        <f t="shared" si="46"/>
        <v>0</v>
      </c>
      <c r="BH28" s="93">
        <f t="shared" ref="BH28:BI34" si="56">IF(Z28=3,1,0)</f>
        <v>0</v>
      </c>
      <c r="BI28" s="93">
        <f t="shared" si="56"/>
        <v>0</v>
      </c>
      <c r="BJ28" s="39">
        <f t="shared" si="26"/>
        <v>0</v>
      </c>
      <c r="BK28" s="39">
        <f t="shared" si="27"/>
        <v>0</v>
      </c>
      <c r="BL28" s="39">
        <f t="shared" si="47"/>
        <v>0</v>
      </c>
      <c r="BM28" s="39">
        <f t="shared" si="48"/>
        <v>0</v>
      </c>
      <c r="BN28" s="39" t="str">
        <f t="shared" si="49"/>
        <v/>
      </c>
      <c r="BO28" s="39" t="str">
        <f t="shared" si="50"/>
        <v/>
      </c>
      <c r="BP28" s="43">
        <f t="shared" si="51"/>
        <v>0</v>
      </c>
      <c r="BQ28" s="43">
        <f t="shared" si="52"/>
        <v>0</v>
      </c>
      <c r="BR28" s="44">
        <f t="shared" si="3"/>
        <v>0</v>
      </c>
      <c r="BS28" s="45">
        <f t="shared" si="53"/>
        <v>0</v>
      </c>
      <c r="BT28" s="46">
        <f t="shared" si="4"/>
        <v>0</v>
      </c>
      <c r="BU28" s="46">
        <f>IF(BS31="s",0,IF(AE31="WO",0,BF31))</f>
        <v>0</v>
      </c>
      <c r="BV28" s="46">
        <f>IF(BS38="s",0,IF(AE38="WO",0,BF38))</f>
        <v>0</v>
      </c>
      <c r="BW28" s="46">
        <f>IF(BS41="s",0,IF(AE41="WO",0,BF41))</f>
        <v>0</v>
      </c>
      <c r="BX28" s="47">
        <f t="shared" si="5"/>
        <v>0</v>
      </c>
      <c r="BY28" s="47">
        <f>IF(BS31="s",0,BG31)</f>
        <v>0</v>
      </c>
      <c r="BZ28" s="47">
        <f>IF(BS38="s",0,BG38)</f>
        <v>0</v>
      </c>
      <c r="CA28" s="47">
        <f>IF(BS41="s",0,BG41)</f>
        <v>0</v>
      </c>
      <c r="CB28" s="110">
        <f t="shared" si="6"/>
        <v>0</v>
      </c>
      <c r="CC28" s="111">
        <f t="shared" si="7"/>
        <v>0</v>
      </c>
      <c r="CD28" s="110">
        <f>IF(AE28="WO",0,BP28)+IF(BS31="s",0,IF(AE31="WO",0,BP31))+IF(BS38="s",0,IF(AE38="WO",0,BP38))+IF(BS41="s",0,IF(AE41="WO",0,BP41))</f>
        <v>0</v>
      </c>
      <c r="CE28" s="111">
        <f>BQ28+IF(BS31="s",0,BQ31)+IF(BS38="s",0,BQ38)+IF(BS41="s",0,BQ41)</f>
        <v>0</v>
      </c>
      <c r="CF28" s="110">
        <f>IF(AE28="WO",0,AJ28)+IF(BS31="s",0,IF(AE31="WO",0,AJ31))+IF(BS38="s",0,IF(AE38="WO",0,AJ38))+IF(BS41="s",0,IF(AE41="WO",0,AJ41))</f>
        <v>0</v>
      </c>
      <c r="CG28" s="111">
        <f>AP28+IF(BS31="s",0,AP31)+IF(BS38="s",0,AP38)+IF(BS41="s",0,AP41)</f>
        <v>0</v>
      </c>
      <c r="CH28" s="49">
        <f t="shared" si="8"/>
        <v>0</v>
      </c>
      <c r="CI28" s="49">
        <f>IF(CV32="s",0,IF(AF32="WO",0,BG32))</f>
        <v>0</v>
      </c>
      <c r="CJ28" s="49">
        <f>IF(CV36="s",0,IF(AF36="WO",0,BG36))</f>
        <v>0</v>
      </c>
      <c r="CK28" s="49">
        <f>IF(CV40="s",0,IF(AF40="WO",0,BG40))</f>
        <v>0</v>
      </c>
      <c r="CL28" s="50">
        <f t="shared" si="9"/>
        <v>0</v>
      </c>
      <c r="CM28" s="50">
        <f>IF(CV32="s",0,BF32)</f>
        <v>0</v>
      </c>
      <c r="CN28" s="50">
        <f>IF(CV36="s",0,BF36)</f>
        <v>0</v>
      </c>
      <c r="CO28" s="50">
        <f>IF(CV40="s",0,BF40)</f>
        <v>0</v>
      </c>
      <c r="CP28" s="112">
        <f t="shared" si="10"/>
        <v>0</v>
      </c>
      <c r="CQ28" s="51">
        <f t="shared" si="11"/>
        <v>0</v>
      </c>
      <c r="CR28" s="113">
        <f>IF(AF28="WO",0,BQ28)+IF(CV32="s",0,IF(AF32="WO",0,BQ32))+IF(CV36="s",0,IF(AF36="WO",0,BQ36))+IF(CV40="s",0,IF(AF40="WO",0,BQ40))</f>
        <v>0</v>
      </c>
      <c r="CS28" s="114">
        <f>BP28+IF(CV32="s",0,BP32)+IF(CV36="s",0,BP36)+IF(CV40="s",0,BP40)</f>
        <v>0</v>
      </c>
      <c r="CT28" s="52">
        <f>IF(AF28="WO",0,AP28)+IF(CV32="s",0,IF(AF32="WO",0,AP32))+IF(CV36="s",0,IF(AF36="WO",0,AP36))+IF(CV40="s",0,IF(AF28="WO",0,AP40))</f>
        <v>0</v>
      </c>
      <c r="CU28" s="114">
        <f>AJ28+IF(CV32="s",0,AJ32)+IF(CV36="s",0,AJ36)+IF(CV40="s",0,AJ40)</f>
        <v>0</v>
      </c>
      <c r="CV28" s="53">
        <f t="shared" si="12"/>
        <v>0</v>
      </c>
      <c r="CW28" s="45">
        <f t="shared" si="13"/>
        <v>0</v>
      </c>
      <c r="CX28" s="38"/>
      <c r="CZ28" s="45"/>
      <c r="DA28" s="54"/>
      <c r="DB28" s="54"/>
      <c r="DC28" s="54"/>
      <c r="DD28" s="54"/>
      <c r="DE28" s="54"/>
      <c r="DF28" s="54"/>
      <c r="DG28" s="54"/>
      <c r="DH28" s="54"/>
      <c r="DP28" s="415" t="e">
        <f>HLOOKUP(G10,DR21:EE39,8,FALSE)</f>
        <v>#N/A</v>
      </c>
      <c r="DQ28" s="415" t="e">
        <f>HLOOKUP(G12,DR21:EE39,8,FALSE)</f>
        <v>#N/A</v>
      </c>
      <c r="DR28" s="416" t="e">
        <f>HLOOKUP(DR21,Soupisky!A2:'Soupisky'!BD20,8,FALSE)</f>
        <v>#N/A</v>
      </c>
      <c r="DS28" s="416" t="e">
        <f>HLOOKUP(DS21,Soupisky!B2:'Soupisky'!BE20,8,FALSE)</f>
        <v>#N/A</v>
      </c>
      <c r="DT28" s="416" t="e">
        <f>HLOOKUP(DT21,Soupisky!C2:'Soupisky'!BF20,8,FALSE)</f>
        <v>#N/A</v>
      </c>
      <c r="DU28" s="416" t="e">
        <f>HLOOKUP(DU21,Soupisky!D2:'Soupisky'!BG20,8,FALSE)</f>
        <v>#N/A</v>
      </c>
      <c r="DV28" s="416" t="e">
        <f>HLOOKUP(DV21,Soupisky!E2:'Soupisky'!BH20,8,FALSE)</f>
        <v>#N/A</v>
      </c>
      <c r="DW28" s="416" t="e">
        <f>HLOOKUP(DW21,Soupisky!F2:'Soupisky'!BI20,8,FALSE)</f>
        <v>#N/A</v>
      </c>
      <c r="DX28" s="416" t="e">
        <f>HLOOKUP(DX21,Soupisky!G2:'Soupisky'!BJ20,8,FALSE)</f>
        <v>#N/A</v>
      </c>
      <c r="DY28" s="416" t="e">
        <f>HLOOKUP(DY21,Soupisky!H2:'Soupisky'!BK20,8,FALSE)</f>
        <v>#N/A</v>
      </c>
      <c r="DZ28" s="416" t="e">
        <f>HLOOKUP(DZ21,Soupisky!I2:'Soupisky'!BL20,8,FALSE)</f>
        <v>#N/A</v>
      </c>
      <c r="EA28" s="416" t="e">
        <f>HLOOKUP(EA21,Soupisky!J2:'Soupisky'!BM20,8,FALSE)</f>
        <v>#N/A</v>
      </c>
      <c r="EB28" s="416" t="e">
        <f>HLOOKUP(EB21,Soupisky!K2:'Soupisky'!BN20,8,FALSE)</f>
        <v>#N/A</v>
      </c>
      <c r="EC28" s="416" t="e">
        <f>HLOOKUP(EC21,Soupisky!L2:'Soupisky'!BO20,8,FALSE)</f>
        <v>#N/A</v>
      </c>
      <c r="ED28" s="416" t="e">
        <f>HLOOKUP(ED21,Soupisky!M2:'Soupisky'!BP20,8,FALSE)</f>
        <v>#N/A</v>
      </c>
      <c r="EE28" s="417" t="e">
        <f>HLOOKUP(EE21,Soupisky!#REF!:'Soupisky'!BQ20,8,FALSE)</f>
        <v>#REF!</v>
      </c>
    </row>
    <row r="29" spans="1:135" s="39" customFormat="1" ht="18.75" customHeight="1" x14ac:dyDescent="0.2">
      <c r="A29" s="39" t="str">
        <f>IF(B29="N","N",IF(OR(B23="A",B26="A",B27="A",B28="A"),"A1","A"))</f>
        <v>N</v>
      </c>
      <c r="B29" s="45" t="str">
        <f>IF(C29="1","N",IF((C23+C26+C27+C28&gt;2),"a","n"))</f>
        <v>n</v>
      </c>
      <c r="C29" s="54" t="str">
        <f t="shared" si="0"/>
        <v>0</v>
      </c>
      <c r="D29" s="107" t="s">
        <v>4</v>
      </c>
      <c r="E29" s="242"/>
      <c r="F29" s="572"/>
      <c r="G29" s="573"/>
      <c r="H29" s="573"/>
      <c r="I29" s="573"/>
      <c r="J29" s="573"/>
      <c r="K29" s="574"/>
      <c r="L29" s="244"/>
      <c r="M29" s="572"/>
      <c r="N29" s="573"/>
      <c r="O29" s="573"/>
      <c r="P29" s="573"/>
      <c r="Q29" s="573"/>
      <c r="R29" s="573"/>
      <c r="S29" s="573"/>
      <c r="T29" s="581"/>
      <c r="U29" s="146"/>
      <c r="V29" s="147"/>
      <c r="W29" s="147"/>
      <c r="X29" s="147"/>
      <c r="Y29" s="148"/>
      <c r="Z29" s="429" t="str">
        <f t="shared" si="28"/>
        <v/>
      </c>
      <c r="AA29" s="428" t="str">
        <f t="shared" si="29"/>
        <v/>
      </c>
      <c r="AB29" s="108" t="str">
        <f t="shared" si="54"/>
        <v/>
      </c>
      <c r="AC29" s="109" t="str">
        <f t="shared" si="55"/>
        <v/>
      </c>
      <c r="AD29" s="86"/>
      <c r="AE29" s="87" t="str">
        <f t="shared" si="30"/>
        <v/>
      </c>
      <c r="AF29" s="87" t="str">
        <f t="shared" si="31"/>
        <v/>
      </c>
      <c r="AG29" s="87" t="str">
        <f>IF(W29="","",IF(W29="-0","x",IF(W29="wo","wo",VALUE(W29))))</f>
        <v/>
      </c>
      <c r="AH29" s="87" t="str">
        <f>IF(X29="","",IF(X29="-0","x",IF(X29="wo","wo",VALUE(X29))))</f>
        <v/>
      </c>
      <c r="AI29" s="87" t="str">
        <f>IF(Y29="","",IF(Y29="-0","x",IF(Y29="wo","wo",VALUE(Y29))))</f>
        <v/>
      </c>
      <c r="AJ29" s="88">
        <f t="shared" si="14"/>
        <v>0</v>
      </c>
      <c r="AK29" s="89" t="str">
        <f t="shared" si="35"/>
        <v/>
      </c>
      <c r="AL29" s="89" t="str">
        <f t="shared" si="36"/>
        <v/>
      </c>
      <c r="AM29" s="89" t="str">
        <f t="shared" si="37"/>
        <v/>
      </c>
      <c r="AN29" s="89" t="str">
        <f>IF(X29="-0",0,IF(AH29="","",IF(AND(AH29&gt;=0,AH29&lt;10),11,0)+IF(AND(AH29&gt;0,AH29&gt;9),AH29+2,0)+IF(AH29&lt;0,-AH29,0)))</f>
        <v/>
      </c>
      <c r="AO29" s="89" t="str">
        <f>IF(Y29="-0",0,IF(AI29="","",IF(AND(AI29&gt;=0,AI29&lt;10),11,0)+IF(AND(AI29&gt;0,AI29&gt;9),AI29+2,0)+IF(AI29&lt;0,-AI29,0)))</f>
        <v/>
      </c>
      <c r="AP29" s="90">
        <f t="shared" si="15"/>
        <v>0</v>
      </c>
      <c r="AQ29" s="89" t="str">
        <f t="shared" si="40"/>
        <v/>
      </c>
      <c r="AR29" s="89" t="str">
        <f t="shared" si="41"/>
        <v/>
      </c>
      <c r="AS29" s="89" t="str">
        <f t="shared" si="42"/>
        <v/>
      </c>
      <c r="AT29" s="89" t="str">
        <f>IF(X29="-0",11,IF(AH29="","",IF(AH29&gt;=0,AH29,0)+IF(AND(AH29&lt;0,AH29&lt;-9),-AH29+2,0)+IF(AND(AH29&lt;0,AH29&gt;-10),11,0)))</f>
        <v/>
      </c>
      <c r="AU29" s="89" t="str">
        <f>IF(Y29="-0",11,IF(AI29="","",IF(AI29&gt;=0,AI29,0)+IF(AND(AI29&lt;0,AI29&lt;-9),-AI29+2,0)+IF(AND(AI29&lt;0,AI29&gt;-10),11,0)))</f>
        <v/>
      </c>
      <c r="AV29" s="91" t="str">
        <f t="shared" si="16"/>
        <v/>
      </c>
      <c r="AW29" s="89" t="str">
        <f t="shared" si="17"/>
        <v/>
      </c>
      <c r="AX29" s="89" t="str">
        <f t="shared" si="18"/>
        <v/>
      </c>
      <c r="AY29" s="89" t="str">
        <f t="shared" si="19"/>
        <v/>
      </c>
      <c r="AZ29" s="89" t="str">
        <f t="shared" si="20"/>
        <v/>
      </c>
      <c r="BA29" s="91" t="str">
        <f t="shared" si="21"/>
        <v/>
      </c>
      <c r="BB29" s="89" t="str">
        <f t="shared" si="22"/>
        <v/>
      </c>
      <c r="BC29" s="89" t="str">
        <f t="shared" si="23"/>
        <v/>
      </c>
      <c r="BD29" s="89" t="str">
        <f t="shared" si="24"/>
        <v/>
      </c>
      <c r="BE29" s="92" t="str">
        <f t="shared" si="25"/>
        <v/>
      </c>
      <c r="BF29" s="54">
        <f t="shared" si="45"/>
        <v>0</v>
      </c>
      <c r="BG29" s="54">
        <f t="shared" si="46"/>
        <v>0</v>
      </c>
      <c r="BH29" s="93">
        <f t="shared" si="56"/>
        <v>0</v>
      </c>
      <c r="BI29" s="93">
        <f t="shared" si="56"/>
        <v>0</v>
      </c>
      <c r="BJ29" s="39">
        <f t="shared" si="26"/>
        <v>0</v>
      </c>
      <c r="BK29" s="39">
        <f t="shared" si="27"/>
        <v>0</v>
      </c>
      <c r="BL29" s="39">
        <f t="shared" si="47"/>
        <v>0</v>
      </c>
      <c r="BM29" s="39">
        <f t="shared" si="48"/>
        <v>0</v>
      </c>
      <c r="BN29" s="39" t="str">
        <f t="shared" si="49"/>
        <v/>
      </c>
      <c r="BO29" s="39" t="str">
        <f t="shared" si="50"/>
        <v/>
      </c>
      <c r="BP29" s="43">
        <f t="shared" si="51"/>
        <v>0</v>
      </c>
      <c r="BQ29" s="43">
        <f t="shared" si="52"/>
        <v>0</v>
      </c>
      <c r="BR29" s="44">
        <f t="shared" si="3"/>
        <v>0</v>
      </c>
      <c r="BS29" s="45">
        <f t="shared" si="53"/>
        <v>0</v>
      </c>
      <c r="BT29" s="46">
        <f t="shared" si="4"/>
        <v>0</v>
      </c>
      <c r="BU29" s="46">
        <f>IF(BS32="s",0,IF(AE32="WO",0,BF32))</f>
        <v>0</v>
      </c>
      <c r="BV29" s="46">
        <f>IF(BS35="s",0,IF(AE35="WO",0,BF35))</f>
        <v>0</v>
      </c>
      <c r="BW29" s="46">
        <f>IF(BS42="s",0,IF(AE42="WO",0,BF42))</f>
        <v>0</v>
      </c>
      <c r="BX29" s="47">
        <f t="shared" si="5"/>
        <v>0</v>
      </c>
      <c r="BY29" s="47">
        <f>IF(BS32="s",0,BG32)</f>
        <v>0</v>
      </c>
      <c r="BZ29" s="47">
        <f>IF(BS35="s",0,BG35)</f>
        <v>0</v>
      </c>
      <c r="CA29" s="47">
        <f>IF(BS42="s",0,BG42)</f>
        <v>0</v>
      </c>
      <c r="CB29" s="110">
        <f t="shared" si="6"/>
        <v>0</v>
      </c>
      <c r="CC29" s="111">
        <f t="shared" si="7"/>
        <v>0</v>
      </c>
      <c r="CD29" s="110">
        <f>IF(AE29="WO",0,BP29)+IF(BS32="s",0,IF(AE32="WO",0,BP32))+IF(BS35="s",0,IF(AE35="WO",0,BP35))+IF(BS42="s",0,IF(AE42="WO",0,BP42))</f>
        <v>0</v>
      </c>
      <c r="CE29" s="111">
        <f>BQ29+IF(BS32="s",0,BQ32)+IF(BS35="s",0,BQ35)+IF(BS42="s",0,BQ42)</f>
        <v>0</v>
      </c>
      <c r="CF29" s="110">
        <f>IF(AE29="WO",0,AJ29)+IF(BS32="s",0,IF(AE32="WO",0,AJ32))+IF(BS35="s",0,IF(AE35="WO",0,AJ35))+IF(BS42="s",0,IF(AE42="WO",0,AJ42))</f>
        <v>0</v>
      </c>
      <c r="CG29" s="111">
        <f>AP29+IF(BS32="s",0,AP32)+IF(BS35="s",0,AP35)+IF(BS42="s",0,AP42)</f>
        <v>0</v>
      </c>
      <c r="CH29" s="49">
        <f t="shared" si="8"/>
        <v>0</v>
      </c>
      <c r="CI29" s="49">
        <f>IF(CV33="s",0,IF(AF33="WO",0,BG33))</f>
        <v>0</v>
      </c>
      <c r="CJ29" s="49">
        <f>IF(CV37="s",0,IF(AF37="WO",0,BG37))</f>
        <v>0</v>
      </c>
      <c r="CK29" s="49">
        <f>IF(CV41="s",0,IF(AF41="WO",0,BG41))</f>
        <v>0</v>
      </c>
      <c r="CL29" s="50">
        <f t="shared" si="9"/>
        <v>0</v>
      </c>
      <c r="CM29" s="50">
        <f>IF(CV33="s",0,BF33)</f>
        <v>0</v>
      </c>
      <c r="CN29" s="50">
        <f>IF(CV37="s",0,BF37)</f>
        <v>0</v>
      </c>
      <c r="CO29" s="50">
        <f>IF(CV41="s",0,BF41)</f>
        <v>0</v>
      </c>
      <c r="CP29" s="112">
        <f t="shared" si="10"/>
        <v>0</v>
      </c>
      <c r="CQ29" s="51">
        <f t="shared" si="11"/>
        <v>0</v>
      </c>
      <c r="CR29" s="113">
        <f>IF(AF29="WO",0,BQ29)+IF(CV33="s",0,IF(AF33="WO",0,BQ33))+IF(CV37="s",0,IF(AF37="WO",0,BQ37))+IF(CV41="s",0,IF(AF41="WO",0,BQ41))</f>
        <v>0</v>
      </c>
      <c r="CS29" s="114">
        <f>BP29+IF(CV33="s",0,BP33)+IF(CV37="s",0,BP37)+IF(CV41="s",0,BP41)</f>
        <v>0</v>
      </c>
      <c r="CT29" s="52">
        <f>IF(AF29="WO",0,AP29)+IF(CV33="s",0,IF(AF33="WO",0,AP33))+IF(CV37="s",0,IF(AF37="WO",0,AP37))+IF(CV41="s",0,IF(AF29="WO",0,AP41))</f>
        <v>0</v>
      </c>
      <c r="CU29" s="114">
        <f>AJ29+IF(CV33="s",0,AJ33)+IF(CV37="s",0,AJ37)+IF(CV41="s",0,AJ41)</f>
        <v>0</v>
      </c>
      <c r="CV29" s="53">
        <f t="shared" si="12"/>
        <v>0</v>
      </c>
      <c r="CW29" s="45">
        <f t="shared" si="13"/>
        <v>0</v>
      </c>
      <c r="CX29" s="38"/>
      <c r="CZ29" s="45"/>
      <c r="DA29" s="54"/>
      <c r="DB29" s="54"/>
      <c r="DC29" s="54"/>
      <c r="DD29" s="54"/>
      <c r="DE29" s="54"/>
      <c r="DF29" s="54"/>
      <c r="DG29" s="54"/>
      <c r="DH29" s="54"/>
      <c r="DP29" s="415" t="e">
        <f>HLOOKUP(G10,DR21:EE39,9,FALSE)</f>
        <v>#N/A</v>
      </c>
      <c r="DQ29" s="415" t="e">
        <f>HLOOKUP(G12,DR21:EE39,9,FALSE)</f>
        <v>#N/A</v>
      </c>
      <c r="DR29" s="416" t="e">
        <f>HLOOKUP(DR21,Soupisky!A2:'Soupisky'!BD20,9,FALSE)</f>
        <v>#N/A</v>
      </c>
      <c r="DS29" s="416" t="e">
        <f>HLOOKUP(DS21,Soupisky!B2:'Soupisky'!BE20,9,FALSE)</f>
        <v>#N/A</v>
      </c>
      <c r="DT29" s="416" t="e">
        <f>HLOOKUP(DT21,Soupisky!C2:'Soupisky'!BF20,9,FALSE)</f>
        <v>#N/A</v>
      </c>
      <c r="DU29" s="416" t="e">
        <f>HLOOKUP(DU21,Soupisky!D2:'Soupisky'!BG20,9,FALSE)</f>
        <v>#N/A</v>
      </c>
      <c r="DV29" s="416" t="e">
        <f>HLOOKUP(DV21,Soupisky!E2:'Soupisky'!BH20,9,FALSE)</f>
        <v>#N/A</v>
      </c>
      <c r="DW29" s="416" t="e">
        <f>HLOOKUP(DW21,Soupisky!F2:'Soupisky'!BI20,9,FALSE)</f>
        <v>#N/A</v>
      </c>
      <c r="DX29" s="416" t="e">
        <f>HLOOKUP(DX21,Soupisky!G2:'Soupisky'!BJ20,9,FALSE)</f>
        <v>#N/A</v>
      </c>
      <c r="DY29" s="416" t="e">
        <f>HLOOKUP(DY21,Soupisky!H2:'Soupisky'!BK20,9,FALSE)</f>
        <v>#N/A</v>
      </c>
      <c r="DZ29" s="416" t="e">
        <f>HLOOKUP(DZ21,Soupisky!I2:'Soupisky'!BL20,9,FALSE)</f>
        <v>#N/A</v>
      </c>
      <c r="EA29" s="416" t="e">
        <f>HLOOKUP(EA21,Soupisky!J2:'Soupisky'!BM20,9,FALSE)</f>
        <v>#N/A</v>
      </c>
      <c r="EB29" s="416" t="e">
        <f>HLOOKUP(EB21,Soupisky!K2:'Soupisky'!BN20,9,FALSE)</f>
        <v>#N/A</v>
      </c>
      <c r="EC29" s="416" t="e">
        <f>HLOOKUP(EC21,Soupisky!L2:'Soupisky'!BO20,9,FALSE)</f>
        <v>#N/A</v>
      </c>
      <c r="ED29" s="416" t="e">
        <f>HLOOKUP(ED21,Soupisky!M2:'Soupisky'!BP20,9,FALSE)</f>
        <v>#N/A</v>
      </c>
      <c r="EE29" s="417" t="e">
        <f>HLOOKUP(EE21,Soupisky!#REF!:'Soupisky'!BQ20,9,FALSE)</f>
        <v>#REF!</v>
      </c>
    </row>
    <row r="30" spans="1:135" s="39" customFormat="1" ht="18.75" customHeight="1" thickBot="1" x14ac:dyDescent="0.25">
      <c r="A30" s="39" t="str">
        <f>IF(B30="N","N",IF(OR(B23="A",B26="A",B27="A",B28="A",B29="A"),"A1","A"))</f>
        <v>N</v>
      </c>
      <c r="B30" s="45" t="str">
        <f>IF(C30="1","N",IF((C23+C26+C27+C28+C29&gt;3),"a","n"))</f>
        <v>n</v>
      </c>
      <c r="C30" s="54" t="str">
        <f t="shared" si="0"/>
        <v>0</v>
      </c>
      <c r="D30" s="230" t="s">
        <v>5</v>
      </c>
      <c r="E30" s="243"/>
      <c r="F30" s="575"/>
      <c r="G30" s="576"/>
      <c r="H30" s="576"/>
      <c r="I30" s="576"/>
      <c r="J30" s="576"/>
      <c r="K30" s="577"/>
      <c r="L30" s="245"/>
      <c r="M30" s="575"/>
      <c r="N30" s="576"/>
      <c r="O30" s="576"/>
      <c r="P30" s="576"/>
      <c r="Q30" s="576"/>
      <c r="R30" s="576"/>
      <c r="S30" s="576"/>
      <c r="T30" s="582"/>
      <c r="U30" s="231"/>
      <c r="V30" s="232"/>
      <c r="W30" s="232"/>
      <c r="X30" s="232"/>
      <c r="Y30" s="233"/>
      <c r="Z30" s="234" t="str">
        <f t="shared" si="28"/>
        <v/>
      </c>
      <c r="AA30" s="235" t="str">
        <f t="shared" si="29"/>
        <v/>
      </c>
      <c r="AB30" s="236" t="str">
        <f t="shared" si="54"/>
        <v/>
      </c>
      <c r="AC30" s="237" t="str">
        <f t="shared" si="55"/>
        <v/>
      </c>
      <c r="AD30" s="86"/>
      <c r="AE30" s="87" t="str">
        <f t="shared" si="30"/>
        <v/>
      </c>
      <c r="AF30" s="87" t="str">
        <f t="shared" si="31"/>
        <v/>
      </c>
      <c r="AG30" s="87" t="str">
        <f t="shared" si="32"/>
        <v/>
      </c>
      <c r="AH30" s="87" t="str">
        <f t="shared" si="33"/>
        <v/>
      </c>
      <c r="AI30" s="87" t="str">
        <f t="shared" si="34"/>
        <v/>
      </c>
      <c r="AJ30" s="88">
        <f t="shared" si="14"/>
        <v>0</v>
      </c>
      <c r="AK30" s="89" t="str">
        <f t="shared" si="35"/>
        <v/>
      </c>
      <c r="AL30" s="89" t="str">
        <f t="shared" si="36"/>
        <v/>
      </c>
      <c r="AM30" s="89" t="str">
        <f t="shared" si="37"/>
        <v/>
      </c>
      <c r="AN30" s="89" t="str">
        <f t="shared" si="38"/>
        <v/>
      </c>
      <c r="AO30" s="89" t="str">
        <f t="shared" si="39"/>
        <v/>
      </c>
      <c r="AP30" s="90">
        <f t="shared" si="15"/>
        <v>0</v>
      </c>
      <c r="AQ30" s="89" t="str">
        <f t="shared" si="40"/>
        <v/>
      </c>
      <c r="AR30" s="89" t="str">
        <f t="shared" si="41"/>
        <v/>
      </c>
      <c r="AS30" s="89" t="str">
        <f t="shared" si="42"/>
        <v/>
      </c>
      <c r="AT30" s="89" t="str">
        <f t="shared" si="43"/>
        <v/>
      </c>
      <c r="AU30" s="89" t="str">
        <f t="shared" si="44"/>
        <v/>
      </c>
      <c r="AV30" s="91" t="str">
        <f t="shared" si="16"/>
        <v/>
      </c>
      <c r="AW30" s="89" t="str">
        <f t="shared" si="17"/>
        <v/>
      </c>
      <c r="AX30" s="89" t="str">
        <f t="shared" si="18"/>
        <v/>
      </c>
      <c r="AY30" s="89" t="str">
        <f t="shared" si="19"/>
        <v/>
      </c>
      <c r="AZ30" s="89" t="str">
        <f t="shared" si="20"/>
        <v/>
      </c>
      <c r="BA30" s="91" t="str">
        <f t="shared" si="21"/>
        <v/>
      </c>
      <c r="BB30" s="89" t="str">
        <f t="shared" si="22"/>
        <v/>
      </c>
      <c r="BC30" s="89" t="str">
        <f t="shared" si="23"/>
        <v/>
      </c>
      <c r="BD30" s="89" t="str">
        <f t="shared" si="24"/>
        <v/>
      </c>
      <c r="BE30" s="92" t="str">
        <f t="shared" si="25"/>
        <v/>
      </c>
      <c r="BF30" s="54">
        <f t="shared" si="45"/>
        <v>0</v>
      </c>
      <c r="BG30" s="54">
        <f t="shared" si="46"/>
        <v>0</v>
      </c>
      <c r="BH30" s="93">
        <f t="shared" si="56"/>
        <v>0</v>
      </c>
      <c r="BI30" s="93">
        <f t="shared" si="56"/>
        <v>0</v>
      </c>
      <c r="BJ30" s="39">
        <f t="shared" si="26"/>
        <v>0</v>
      </c>
      <c r="BK30" s="39">
        <f t="shared" si="27"/>
        <v>0</v>
      </c>
      <c r="BL30" s="39">
        <f t="shared" si="47"/>
        <v>0</v>
      </c>
      <c r="BM30" s="39">
        <f t="shared" si="48"/>
        <v>0</v>
      </c>
      <c r="BN30" s="39" t="str">
        <f t="shared" si="49"/>
        <v/>
      </c>
      <c r="BO30" s="39" t="str">
        <f t="shared" si="50"/>
        <v/>
      </c>
      <c r="BP30" s="43">
        <f t="shared" si="51"/>
        <v>0</v>
      </c>
      <c r="BQ30" s="43">
        <f t="shared" si="52"/>
        <v>0</v>
      </c>
      <c r="BR30" s="44">
        <f t="shared" si="3"/>
        <v>0</v>
      </c>
      <c r="BS30" s="45">
        <f t="shared" si="53"/>
        <v>0</v>
      </c>
      <c r="BT30" s="46">
        <f t="shared" si="4"/>
        <v>0</v>
      </c>
      <c r="BU30" s="46">
        <f>IF(BS33="s",0,IF(AE33="WO",0,BF33))</f>
        <v>0</v>
      </c>
      <c r="BV30" s="46">
        <f>IF(BS36="s",0,IF(AE36="WO",0,BF36))</f>
        <v>0</v>
      </c>
      <c r="BW30" s="46">
        <f>IF(BS39="s",0,IF(AE39="WO",0,BF39))</f>
        <v>0</v>
      </c>
      <c r="BX30" s="47">
        <f t="shared" si="5"/>
        <v>0</v>
      </c>
      <c r="BY30" s="47">
        <f>IF(BS33="s",0,BG33)</f>
        <v>0</v>
      </c>
      <c r="BZ30" s="47">
        <f>IF(BS36="s",0,BG36)</f>
        <v>0</v>
      </c>
      <c r="CA30" s="47">
        <f>IF(BS39="s",0,BG39)</f>
        <v>0</v>
      </c>
      <c r="CB30" s="110">
        <f t="shared" si="6"/>
        <v>0</v>
      </c>
      <c r="CC30" s="111">
        <f t="shared" si="7"/>
        <v>0</v>
      </c>
      <c r="CD30" s="110">
        <f>IF(AE30="WO",0,BP30)+IF(BS33="s",0,IF(AE33="WO",0,BP33))+IF(BS36="s",0,IF(AE36="WO",0,BP36))+IF(BS39="s",0,IF(AE39="WO",0,BP39))</f>
        <v>0</v>
      </c>
      <c r="CE30" s="111">
        <f>BQ30+IF(BS33="s",0,BQ33)+IF(BS36="s",0,BQ36)+IF(BS39="s",0,BQ39)</f>
        <v>0</v>
      </c>
      <c r="CF30" s="110">
        <f>IF(AE30="WO",0,AJ30)+IF(BS33="s",0,IF(AE33="WO",0,AJ33))+IF(BS36="s",0,IF(AE36="WO",0,AJ36))+IF(BS39="s",0,IF(AE39="WO",0,AJ39))</f>
        <v>0</v>
      </c>
      <c r="CG30" s="111">
        <f>AP30+IF(BS33="s",0,AP33)+IF(BS36="s",0,AP36)+IF(BS39="s",0,AP39)</f>
        <v>0</v>
      </c>
      <c r="CH30" s="49">
        <f t="shared" si="8"/>
        <v>0</v>
      </c>
      <c r="CI30" s="49">
        <f>IF(CV34="s",0,IF(AF34="WO",0,BG34))</f>
        <v>0</v>
      </c>
      <c r="CJ30" s="49">
        <f>IF(CV38="s",0,IF(AF38="WO",0,BG38))</f>
        <v>0</v>
      </c>
      <c r="CK30" s="49">
        <f>IF(CV42="s",0,IF(AF42="WO",0,BG42))</f>
        <v>0</v>
      </c>
      <c r="CL30" s="50">
        <f t="shared" si="9"/>
        <v>0</v>
      </c>
      <c r="CM30" s="50">
        <f>IF(CV34="s",0,BF34)</f>
        <v>0</v>
      </c>
      <c r="CN30" s="50">
        <f>IF(CV38="s",0,BF38)</f>
        <v>0</v>
      </c>
      <c r="CO30" s="50">
        <f>IF(CV42="s",0,BF42)</f>
        <v>0</v>
      </c>
      <c r="CP30" s="112">
        <f t="shared" si="10"/>
        <v>0</v>
      </c>
      <c r="CQ30" s="51">
        <f t="shared" si="11"/>
        <v>0</v>
      </c>
      <c r="CR30" s="113">
        <f>IF(AF30="WO",0,BQ30)+IF(CV34="s",0,IF(AF34="WO",0,BQ34))+IF(CV38="s",0,IF(AF38="WO",0,BQ38))+IF(CV42="s",0,IF(AF42="WO",0,BQ42))</f>
        <v>0</v>
      </c>
      <c r="CS30" s="114">
        <f>BP30+IF(CV34="s",0,BP34)+IF(CV38="s",0,BP38)+IF(CV42="s",0,BP42)</f>
        <v>0</v>
      </c>
      <c r="CT30" s="52">
        <f>IF(AF30="WO",0,AP30)+IF(CV34="s",0,IF(AF34="WO",0,AP34))+IF(CV38="s",0,IF(AF38="WO",0,AP38))+IF(CV42="s",0,IF(AF30="WO",0,AP42))</f>
        <v>0</v>
      </c>
      <c r="CU30" s="114">
        <f>AJ30+IF(CV34="s",0,AJ34)+IF(CV38="s",0,AJ38)+IF(CV42="s",0,AJ42)</f>
        <v>0</v>
      </c>
      <c r="CV30" s="53">
        <f t="shared" si="12"/>
        <v>0</v>
      </c>
      <c r="CW30" s="45">
        <f t="shared" si="13"/>
        <v>0</v>
      </c>
      <c r="CX30" s="38"/>
      <c r="CZ30" s="45"/>
      <c r="DA30" s="54"/>
      <c r="DB30" s="54"/>
      <c r="DC30" s="54"/>
      <c r="DD30" s="54"/>
      <c r="DE30" s="54"/>
      <c r="DF30" s="54"/>
      <c r="DG30" s="54"/>
      <c r="DH30" s="54"/>
      <c r="DP30" s="415" t="e">
        <f>HLOOKUP(G10,DR21:EE39,10,FALSE)</f>
        <v>#N/A</v>
      </c>
      <c r="DQ30" s="415" t="e">
        <f>HLOOKUP(G12,DR21:EE39,10,FALSE)</f>
        <v>#N/A</v>
      </c>
      <c r="DR30" s="416" t="e">
        <f>HLOOKUP(DR21,Soupisky!A2:'Soupisky'!BD20,10,FALSE)</f>
        <v>#N/A</v>
      </c>
      <c r="DS30" s="416" t="e">
        <f>HLOOKUP(DS21,Soupisky!B2:'Soupisky'!BE20,10,FALSE)</f>
        <v>#N/A</v>
      </c>
      <c r="DT30" s="416" t="e">
        <f>HLOOKUP(DT21,Soupisky!C2:'Soupisky'!BF20,10,FALSE)</f>
        <v>#N/A</v>
      </c>
      <c r="DU30" s="416" t="e">
        <f>HLOOKUP(DU21,Soupisky!D2:'Soupisky'!BG20,10,FALSE)</f>
        <v>#N/A</v>
      </c>
      <c r="DV30" s="416" t="e">
        <f>HLOOKUP(DV21,Soupisky!E2:'Soupisky'!BH20,10,FALSE)</f>
        <v>#N/A</v>
      </c>
      <c r="DW30" s="416" t="e">
        <f>HLOOKUP(DW21,Soupisky!F2:'Soupisky'!BI20,10,FALSE)</f>
        <v>#N/A</v>
      </c>
      <c r="DX30" s="416" t="e">
        <f>HLOOKUP(DX21,Soupisky!G2:'Soupisky'!BJ20,10,FALSE)</f>
        <v>#N/A</v>
      </c>
      <c r="DY30" s="416" t="e">
        <f>HLOOKUP(DY21,Soupisky!H2:'Soupisky'!BK20,10,FALSE)</f>
        <v>#N/A</v>
      </c>
      <c r="DZ30" s="416" t="e">
        <f>HLOOKUP(DZ21,Soupisky!I2:'Soupisky'!BL20,10,FALSE)</f>
        <v>#N/A</v>
      </c>
      <c r="EA30" s="416" t="e">
        <f>HLOOKUP(EA21,Soupisky!J2:'Soupisky'!BM20,10,FALSE)</f>
        <v>#N/A</v>
      </c>
      <c r="EB30" s="416" t="e">
        <f>HLOOKUP(EB21,Soupisky!K2:'Soupisky'!BN20,10,FALSE)</f>
        <v>#N/A</v>
      </c>
      <c r="EC30" s="416" t="e">
        <f>HLOOKUP(EC21,Soupisky!L2:'Soupisky'!BO20,10,FALSE)</f>
        <v>#N/A</v>
      </c>
      <c r="ED30" s="416" t="e">
        <f>HLOOKUP(ED21,Soupisky!M2:'Soupisky'!BP20,10,FALSE)</f>
        <v>#N/A</v>
      </c>
      <c r="EE30" s="417" t="e">
        <f>HLOOKUP(EE21,Soupisky!#REF!:'Soupisky'!BQ20,10,FALSE)</f>
        <v>#REF!</v>
      </c>
    </row>
    <row r="31" spans="1:135" s="39" customFormat="1" ht="18.75" customHeight="1" x14ac:dyDescent="0.2">
      <c r="A31" s="39" t="str">
        <f>IF(B31="N","N",IF(OR(B23="A",B26="A",B27="A",B28="A",B29="A",B30="A"),"A1","A"))</f>
        <v>N</v>
      </c>
      <c r="B31" s="45" t="str">
        <f>IF(C31="1","N",IF((C23+C26+C27+C28+C29+C30&gt;4),"a","n"))</f>
        <v>n</v>
      </c>
      <c r="C31" s="54" t="str">
        <f t="shared" si="0"/>
        <v>0</v>
      </c>
      <c r="D31" s="225" t="s">
        <v>6</v>
      </c>
      <c r="E31" s="144"/>
      <c r="F31" s="578" t="str">
        <f>IF(F28="","",IF(E31="s",IF(F2="",F54,F2),F28))</f>
        <v/>
      </c>
      <c r="G31" s="579"/>
      <c r="H31" s="579"/>
      <c r="I31" s="579"/>
      <c r="J31" s="579"/>
      <c r="K31" s="580"/>
      <c r="L31" s="144"/>
      <c r="M31" s="647" t="str">
        <f>IF(M27="","",IF(L31="s",IF(M2="",M54,M2),M27))</f>
        <v/>
      </c>
      <c r="N31" s="648"/>
      <c r="O31" s="648"/>
      <c r="P31" s="648"/>
      <c r="Q31" s="648"/>
      <c r="R31" s="648"/>
      <c r="S31" s="648"/>
      <c r="T31" s="649"/>
      <c r="U31" s="204"/>
      <c r="V31" s="203"/>
      <c r="W31" s="203"/>
      <c r="X31" s="203"/>
      <c r="Y31" s="226"/>
      <c r="Z31" s="227" t="str">
        <f t="shared" si="28"/>
        <v/>
      </c>
      <c r="AA31" s="228" t="str">
        <f t="shared" si="29"/>
        <v/>
      </c>
      <c r="AB31" s="229" t="str">
        <f t="shared" si="54"/>
        <v/>
      </c>
      <c r="AC31" s="427" t="str">
        <f t="shared" si="55"/>
        <v/>
      </c>
      <c r="AD31" s="86"/>
      <c r="AE31" s="87" t="str">
        <f t="shared" si="30"/>
        <v/>
      </c>
      <c r="AF31" s="87" t="str">
        <f t="shared" si="31"/>
        <v/>
      </c>
      <c r="AG31" s="87" t="str">
        <f t="shared" si="32"/>
        <v/>
      </c>
      <c r="AH31" s="87" t="str">
        <f t="shared" si="33"/>
        <v/>
      </c>
      <c r="AI31" s="87" t="str">
        <f t="shared" si="34"/>
        <v/>
      </c>
      <c r="AJ31" s="88">
        <f t="shared" si="14"/>
        <v>0</v>
      </c>
      <c r="AK31" s="89" t="str">
        <f t="shared" si="35"/>
        <v/>
      </c>
      <c r="AL31" s="89" t="str">
        <f t="shared" si="36"/>
        <v/>
      </c>
      <c r="AM31" s="89" t="str">
        <f t="shared" si="37"/>
        <v/>
      </c>
      <c r="AN31" s="89" t="str">
        <f t="shared" si="38"/>
        <v/>
      </c>
      <c r="AO31" s="89" t="str">
        <f t="shared" si="39"/>
        <v/>
      </c>
      <c r="AP31" s="90">
        <f t="shared" si="15"/>
        <v>0</v>
      </c>
      <c r="AQ31" s="89" t="str">
        <f t="shared" si="40"/>
        <v/>
      </c>
      <c r="AR31" s="89" t="str">
        <f t="shared" si="41"/>
        <v/>
      </c>
      <c r="AS31" s="89" t="str">
        <f t="shared" si="42"/>
        <v/>
      </c>
      <c r="AT31" s="89" t="str">
        <f t="shared" si="43"/>
        <v/>
      </c>
      <c r="AU31" s="89" t="str">
        <f t="shared" si="44"/>
        <v/>
      </c>
      <c r="AV31" s="91" t="str">
        <f t="shared" si="16"/>
        <v/>
      </c>
      <c r="AW31" s="89" t="str">
        <f t="shared" si="17"/>
        <v/>
      </c>
      <c r="AX31" s="89" t="str">
        <f t="shared" si="18"/>
        <v/>
      </c>
      <c r="AY31" s="89" t="str">
        <f t="shared" si="19"/>
        <v/>
      </c>
      <c r="AZ31" s="89" t="str">
        <f t="shared" si="20"/>
        <v/>
      </c>
      <c r="BA31" s="91" t="str">
        <f t="shared" si="21"/>
        <v/>
      </c>
      <c r="BB31" s="89" t="str">
        <f t="shared" si="22"/>
        <v/>
      </c>
      <c r="BC31" s="89" t="str">
        <f t="shared" si="23"/>
        <v/>
      </c>
      <c r="BD31" s="89" t="str">
        <f t="shared" si="24"/>
        <v/>
      </c>
      <c r="BE31" s="92" t="str">
        <f t="shared" si="25"/>
        <v/>
      </c>
      <c r="BF31" s="54">
        <f t="shared" si="45"/>
        <v>0</v>
      </c>
      <c r="BG31" s="54">
        <f t="shared" si="46"/>
        <v>0</v>
      </c>
      <c r="BH31" s="93">
        <f t="shared" si="56"/>
        <v>0</v>
      </c>
      <c r="BI31" s="93">
        <f t="shared" si="56"/>
        <v>0</v>
      </c>
      <c r="BJ31" s="39">
        <f t="shared" si="26"/>
        <v>0</v>
      </c>
      <c r="BK31" s="39">
        <f t="shared" si="27"/>
        <v>0</v>
      </c>
      <c r="BL31" s="39">
        <f t="shared" si="47"/>
        <v>0</v>
      </c>
      <c r="BM31" s="39">
        <f t="shared" si="48"/>
        <v>0</v>
      </c>
      <c r="BN31" s="39" t="str">
        <f t="shared" si="49"/>
        <v/>
      </c>
      <c r="BO31" s="39" t="str">
        <f t="shared" si="50"/>
        <v/>
      </c>
      <c r="BP31" s="43">
        <f t="shared" si="51"/>
        <v>0</v>
      </c>
      <c r="BQ31" s="43">
        <f t="shared" si="52"/>
        <v>0</v>
      </c>
      <c r="BR31" s="44" t="str">
        <f t="shared" ref="BR31:BR37" si="57">F31</f>
        <v/>
      </c>
      <c r="BS31" s="45">
        <f t="shared" si="53"/>
        <v>0</v>
      </c>
      <c r="BT31" s="46"/>
      <c r="BU31" s="46"/>
      <c r="BV31" s="46"/>
      <c r="BW31" s="46"/>
      <c r="BX31" s="47"/>
      <c r="BY31" s="47"/>
      <c r="BZ31" s="47"/>
      <c r="CA31" s="47"/>
      <c r="CB31" s="110"/>
      <c r="CC31" s="111"/>
      <c r="CD31" s="110"/>
      <c r="CE31" s="111"/>
      <c r="CF31" s="110"/>
      <c r="CG31" s="111"/>
      <c r="CH31" s="49"/>
      <c r="CI31" s="49"/>
      <c r="CJ31" s="49"/>
      <c r="CK31" s="49"/>
      <c r="CL31" s="50"/>
      <c r="CM31" s="50"/>
      <c r="CN31" s="50"/>
      <c r="CO31" s="50"/>
      <c r="CP31" s="112"/>
      <c r="CQ31" s="51"/>
      <c r="CR31" s="118"/>
      <c r="CS31" s="119"/>
      <c r="CT31" s="120"/>
      <c r="CU31" s="119"/>
      <c r="CV31" s="53">
        <f t="shared" si="12"/>
        <v>0</v>
      </c>
      <c r="CW31" s="45" t="str">
        <f t="shared" ref="CW31:CW42" si="58">M31</f>
        <v/>
      </c>
      <c r="CX31" s="38"/>
      <c r="CZ31" s="45"/>
      <c r="DA31" s="54"/>
      <c r="DB31" s="54"/>
      <c r="DC31" s="54"/>
      <c r="DD31" s="54"/>
      <c r="DE31" s="54"/>
      <c r="DF31" s="54"/>
      <c r="DG31" s="54"/>
      <c r="DH31" s="54"/>
      <c r="DP31" s="415" t="e">
        <f>HLOOKUP(G10,DR21:EE39,11,FALSE)</f>
        <v>#N/A</v>
      </c>
      <c r="DQ31" s="415" t="e">
        <f>HLOOKUP(G12,DR21:EE39,11,FALSE)</f>
        <v>#N/A</v>
      </c>
      <c r="DR31" s="416" t="e">
        <f>HLOOKUP(DR21,Soupisky!A2:'Soupisky'!BD20,11,FALSE)</f>
        <v>#N/A</v>
      </c>
      <c r="DS31" s="416" t="e">
        <f>HLOOKUP(DS21,Soupisky!B2:'Soupisky'!BE20,11,FALSE)</f>
        <v>#N/A</v>
      </c>
      <c r="DT31" s="416" t="e">
        <f>HLOOKUP(DT21,Soupisky!C2:'Soupisky'!BF20,11,FALSE)</f>
        <v>#N/A</v>
      </c>
      <c r="DU31" s="416" t="e">
        <f>HLOOKUP(DU21,Soupisky!D2:'Soupisky'!BG20,11,FALSE)</f>
        <v>#N/A</v>
      </c>
      <c r="DV31" s="416" t="e">
        <f>HLOOKUP(DV21,Soupisky!E2:'Soupisky'!BH20,11,FALSE)</f>
        <v>#N/A</v>
      </c>
      <c r="DW31" s="416" t="e">
        <f>HLOOKUP(DW21,Soupisky!F2:'Soupisky'!BI20,11,FALSE)</f>
        <v>#N/A</v>
      </c>
      <c r="DX31" s="416" t="e">
        <f>HLOOKUP(DX21,Soupisky!G2:'Soupisky'!BJ20,11,FALSE)</f>
        <v>#N/A</v>
      </c>
      <c r="DY31" s="416" t="e">
        <f>HLOOKUP(DY21,Soupisky!H2:'Soupisky'!BK20,11,FALSE)</f>
        <v>#N/A</v>
      </c>
      <c r="DZ31" s="416" t="e">
        <f>HLOOKUP(DZ21,Soupisky!I2:'Soupisky'!BL20,11,FALSE)</f>
        <v>#N/A</v>
      </c>
      <c r="EA31" s="416" t="e">
        <f>HLOOKUP(EA21,Soupisky!J2:'Soupisky'!BM20,11,FALSE)</f>
        <v>#N/A</v>
      </c>
      <c r="EB31" s="416" t="e">
        <f>HLOOKUP(EB21,Soupisky!K2:'Soupisky'!BN20,11,FALSE)</f>
        <v>#N/A</v>
      </c>
      <c r="EC31" s="416" t="e">
        <f>HLOOKUP(EC21,Soupisky!L2:'Soupisky'!BO20,11,FALSE)</f>
        <v>#N/A</v>
      </c>
      <c r="ED31" s="416" t="e">
        <f>HLOOKUP(ED21,Soupisky!M2:'Soupisky'!BP20,11,FALSE)</f>
        <v>#N/A</v>
      </c>
      <c r="EE31" s="417" t="e">
        <f>HLOOKUP(EE21,Soupisky!#REF!:'Soupisky'!BQ20,11,FALSE)</f>
        <v>#REF!</v>
      </c>
    </row>
    <row r="32" spans="1:135" s="39" customFormat="1" ht="18.75" customHeight="1" x14ac:dyDescent="0.2">
      <c r="A32" s="39" t="str">
        <f>IF(B32="N","N",IF(OR(B23="A",B26="A",B27="A",B28="A",B29="A",B30="A",B31="A"),"A1","A"))</f>
        <v>N</v>
      </c>
      <c r="B32" s="45" t="str">
        <f>IF(C32="1","N",IF((C23+C26+C27+C28+C29+C30+C31&gt;5),"a","n"))</f>
        <v>n</v>
      </c>
      <c r="C32" s="54" t="str">
        <f t="shared" si="0"/>
        <v>0</v>
      </c>
      <c r="D32" s="117" t="s">
        <v>7</v>
      </c>
      <c r="E32" s="144"/>
      <c r="F32" s="564" t="str">
        <f>IF(F29="","",IF(E32="s",IF(F2="",F54,F2),F29))</f>
        <v/>
      </c>
      <c r="G32" s="565"/>
      <c r="H32" s="565"/>
      <c r="I32" s="565"/>
      <c r="J32" s="565"/>
      <c r="K32" s="567"/>
      <c r="L32" s="144"/>
      <c r="M32" s="564" t="str">
        <f>IF(M28="","",IF(L32="s",IF(M2="",M54,M2),M28))</f>
        <v/>
      </c>
      <c r="N32" s="565"/>
      <c r="O32" s="565"/>
      <c r="P32" s="565"/>
      <c r="Q32" s="565"/>
      <c r="R32" s="565"/>
      <c r="S32" s="565"/>
      <c r="T32" s="566"/>
      <c r="U32" s="146"/>
      <c r="V32" s="147"/>
      <c r="W32" s="147"/>
      <c r="X32" s="147"/>
      <c r="Y32" s="148"/>
      <c r="Z32" s="429" t="str">
        <f t="shared" si="28"/>
        <v/>
      </c>
      <c r="AA32" s="428" t="str">
        <f t="shared" si="29"/>
        <v/>
      </c>
      <c r="AB32" s="108" t="str">
        <f t="shared" si="54"/>
        <v/>
      </c>
      <c r="AC32" s="109" t="str">
        <f t="shared" si="55"/>
        <v/>
      </c>
      <c r="AD32" s="86"/>
      <c r="AE32" s="87" t="str">
        <f t="shared" si="30"/>
        <v/>
      </c>
      <c r="AF32" s="87" t="str">
        <f t="shared" si="31"/>
        <v/>
      </c>
      <c r="AG32" s="87" t="str">
        <f t="shared" si="32"/>
        <v/>
      </c>
      <c r="AH32" s="87" t="str">
        <f t="shared" si="33"/>
        <v/>
      </c>
      <c r="AI32" s="87" t="str">
        <f t="shared" si="34"/>
        <v/>
      </c>
      <c r="AJ32" s="88">
        <f t="shared" si="14"/>
        <v>0</v>
      </c>
      <c r="AK32" s="89" t="str">
        <f t="shared" si="35"/>
        <v/>
      </c>
      <c r="AL32" s="89" t="str">
        <f t="shared" si="36"/>
        <v/>
      </c>
      <c r="AM32" s="89" t="str">
        <f t="shared" si="37"/>
        <v/>
      </c>
      <c r="AN32" s="89" t="str">
        <f t="shared" si="38"/>
        <v/>
      </c>
      <c r="AO32" s="89" t="str">
        <f t="shared" si="39"/>
        <v/>
      </c>
      <c r="AP32" s="90">
        <f t="shared" si="15"/>
        <v>0</v>
      </c>
      <c r="AQ32" s="89" t="str">
        <f t="shared" si="40"/>
        <v/>
      </c>
      <c r="AR32" s="89" t="str">
        <f t="shared" si="41"/>
        <v/>
      </c>
      <c r="AS32" s="89" t="str">
        <f t="shared" si="42"/>
        <v/>
      </c>
      <c r="AT32" s="89" t="str">
        <f t="shared" si="43"/>
        <v/>
      </c>
      <c r="AU32" s="89" t="str">
        <f t="shared" si="44"/>
        <v/>
      </c>
      <c r="AV32" s="91" t="str">
        <f t="shared" si="16"/>
        <v/>
      </c>
      <c r="AW32" s="89" t="str">
        <f t="shared" si="17"/>
        <v/>
      </c>
      <c r="AX32" s="89" t="str">
        <f t="shared" si="18"/>
        <v/>
      </c>
      <c r="AY32" s="89" t="str">
        <f t="shared" si="19"/>
        <v/>
      </c>
      <c r="AZ32" s="89" t="str">
        <f t="shared" si="20"/>
        <v/>
      </c>
      <c r="BA32" s="91" t="str">
        <f t="shared" si="21"/>
        <v/>
      </c>
      <c r="BB32" s="89" t="str">
        <f t="shared" si="22"/>
        <v/>
      </c>
      <c r="BC32" s="89" t="str">
        <f t="shared" si="23"/>
        <v/>
      </c>
      <c r="BD32" s="89" t="str">
        <f t="shared" si="24"/>
        <v/>
      </c>
      <c r="BE32" s="92" t="str">
        <f t="shared" si="25"/>
        <v/>
      </c>
      <c r="BF32" s="54">
        <f t="shared" si="45"/>
        <v>0</v>
      </c>
      <c r="BG32" s="54">
        <f t="shared" si="46"/>
        <v>0</v>
      </c>
      <c r="BH32" s="93">
        <f t="shared" si="56"/>
        <v>0</v>
      </c>
      <c r="BI32" s="93">
        <f t="shared" si="56"/>
        <v>0</v>
      </c>
      <c r="BJ32" s="39">
        <f t="shared" si="26"/>
        <v>0</v>
      </c>
      <c r="BK32" s="39">
        <f t="shared" si="27"/>
        <v>0</v>
      </c>
      <c r="BL32" s="39">
        <f t="shared" si="47"/>
        <v>0</v>
      </c>
      <c r="BM32" s="39">
        <f t="shared" si="48"/>
        <v>0</v>
      </c>
      <c r="BN32" s="39" t="str">
        <f t="shared" si="49"/>
        <v/>
      </c>
      <c r="BO32" s="39" t="str">
        <f t="shared" si="50"/>
        <v/>
      </c>
      <c r="BP32" s="43">
        <f t="shared" si="51"/>
        <v>0</v>
      </c>
      <c r="BQ32" s="43">
        <f t="shared" si="52"/>
        <v>0</v>
      </c>
      <c r="BR32" s="44" t="str">
        <f t="shared" si="57"/>
        <v/>
      </c>
      <c r="BS32" s="45">
        <f t="shared" si="53"/>
        <v>0</v>
      </c>
      <c r="BT32" s="46"/>
      <c r="BU32" s="46">
        <f>IF(AE34="WO",0,IF(BS34="s",BF34,0))</f>
        <v>0</v>
      </c>
      <c r="BV32" s="46">
        <f>IF(AE37="WO",0,IF(BS37="s",BF37,0))</f>
        <v>0</v>
      </c>
      <c r="BW32" s="46">
        <f>IF(AE40="WO",0,IF(BS40="s",BF40,0))</f>
        <v>0</v>
      </c>
      <c r="BX32" s="47"/>
      <c r="BY32" s="47">
        <f>IF(BS34="s",BG34,0)</f>
        <v>0</v>
      </c>
      <c r="BZ32" s="47">
        <f>IF(BS37="s",BG37,0)</f>
        <v>0</v>
      </c>
      <c r="CA32" s="47">
        <f>IF(BS40="s",BG40,0)</f>
        <v>0</v>
      </c>
      <c r="CB32" s="110">
        <f>SUM(BU32:BW32)</f>
        <v>0</v>
      </c>
      <c r="CC32" s="111">
        <f>SUM(BY32:CA32)</f>
        <v>0</v>
      </c>
      <c r="CD32" s="110">
        <f>IF(AE34="WO",0,IF(BS34="s",BP34,0))+IF(AE37="WO",0,IF(BS37="s",BP37,0))+IF(AE40="WO",0,IF(BS40="s",BP40,0))</f>
        <v>0</v>
      </c>
      <c r="CE32" s="111">
        <f>IF(BS34="s",BQ34,0)+IF(BS37="s",BQ37,0)+IF(BS40="s",BQ40,0)</f>
        <v>0</v>
      </c>
      <c r="CF32" s="110">
        <f>IF(AE34="WO",0,IF(BS34="s",AJ34,0))+IF(AE37="WO",0,IF(BS37="s",AJ37,0))+IF(AE40="WO",0,IF(BS40="s",AJ40,0))</f>
        <v>0</v>
      </c>
      <c r="CG32" s="111">
        <f>IF(BS34="s",AP34,0)+IF(BS37="s",AP37,0)+IF(BS40="s",AP40,0)</f>
        <v>0</v>
      </c>
      <c r="CH32" s="49"/>
      <c r="CI32" s="49">
        <f>IF(AF31="WO",0,IF(CV31="s",BG31,0))</f>
        <v>0</v>
      </c>
      <c r="CJ32" s="49">
        <f>IF(AF35="WO",0,IF(CV35="s",BG35,0))</f>
        <v>0</v>
      </c>
      <c r="CK32" s="49">
        <f>IF(AF39="WO",0,IF(CV39="s",BG39,0))</f>
        <v>0</v>
      </c>
      <c r="CL32" s="50"/>
      <c r="CM32" s="50">
        <f>IF(CV31="s",BF31,0)</f>
        <v>0</v>
      </c>
      <c r="CN32" s="50">
        <f>IF(CV35="s",BF35,0)</f>
        <v>0</v>
      </c>
      <c r="CO32" s="50">
        <f>IF(CV39="s",BF39,0)</f>
        <v>0</v>
      </c>
      <c r="CP32" s="112">
        <f>SUM(CI32:CK32)</f>
        <v>0</v>
      </c>
      <c r="CQ32" s="51">
        <f>SUM(CM32:CO32)</f>
        <v>0</v>
      </c>
      <c r="CR32" s="113">
        <f>IF(AF31="WO",0,IF(CV31="s",BQ31,0))+IF(AF35="WO",0,IF(CV35="s",BQ35,0))+IF(AF39="WO",0,IF(CV39="s",BQ39,0))</f>
        <v>0</v>
      </c>
      <c r="CS32" s="114">
        <f>IF(CV31="s",BP31,0)+IF(CV35="s",BP35,0)+IF(CV39="s",BP39,0)</f>
        <v>0</v>
      </c>
      <c r="CT32" s="52">
        <f>IF(AF31="WO",0,IF(CV31="s",AP31,0))+IF(AF35="WO",0,IF(CV35="s",AP35,0))+IF(AF39="WO",0,IF(CV39="s",AP39,0))</f>
        <v>0</v>
      </c>
      <c r="CU32" s="114">
        <f>IF(CV31="s",AJ31,0)+IF(CV35="s",AJ35,0)+IF(CV39="s",AJ39,0)</f>
        <v>0</v>
      </c>
      <c r="CV32" s="53">
        <f t="shared" si="12"/>
        <v>0</v>
      </c>
      <c r="CW32" s="45" t="str">
        <f t="shared" si="58"/>
        <v/>
      </c>
      <c r="CX32" s="38"/>
      <c r="CZ32" s="45"/>
      <c r="DA32" s="54"/>
      <c r="DB32" s="54"/>
      <c r="DC32" s="54"/>
      <c r="DD32" s="54"/>
      <c r="DE32" s="54"/>
      <c r="DF32" s="54"/>
      <c r="DG32" s="54"/>
      <c r="DH32" s="54"/>
      <c r="DP32" s="415" t="e">
        <f>HLOOKUP(G10,DR21:EE39,12,FALSE)</f>
        <v>#N/A</v>
      </c>
      <c r="DQ32" s="415" t="e">
        <f>HLOOKUP(G12,DR21:EE39,12,FALSE)</f>
        <v>#N/A</v>
      </c>
      <c r="DR32" s="416" t="e">
        <f>HLOOKUP(DR21,Soupisky!A2:'Soupisky'!BD20,12,FALSE)</f>
        <v>#N/A</v>
      </c>
      <c r="DS32" s="416" t="e">
        <f>HLOOKUP(DS21,Soupisky!B2:'Soupisky'!BE20,12,FALSE)</f>
        <v>#N/A</v>
      </c>
      <c r="DT32" s="416" t="e">
        <f>HLOOKUP(DT21,Soupisky!C2:'Soupisky'!BF20,12,FALSE)</f>
        <v>#N/A</v>
      </c>
      <c r="DU32" s="416" t="e">
        <f>HLOOKUP(DU21,Soupisky!D2:'Soupisky'!BG20,12,FALSE)</f>
        <v>#N/A</v>
      </c>
      <c r="DV32" s="416" t="e">
        <f>HLOOKUP(DV21,Soupisky!E2:'Soupisky'!BH20,12,FALSE)</f>
        <v>#N/A</v>
      </c>
      <c r="DW32" s="416" t="e">
        <f>HLOOKUP(DW21,Soupisky!F2:'Soupisky'!BI20,12,FALSE)</f>
        <v>#N/A</v>
      </c>
      <c r="DX32" s="416" t="e">
        <f>HLOOKUP(DX21,Soupisky!G2:'Soupisky'!BJ20,12,FALSE)</f>
        <v>#N/A</v>
      </c>
      <c r="DY32" s="416" t="e">
        <f>HLOOKUP(DY21,Soupisky!H2:'Soupisky'!BK20,12,FALSE)</f>
        <v>#N/A</v>
      </c>
      <c r="DZ32" s="416" t="e">
        <f>HLOOKUP(DZ21,Soupisky!I2:'Soupisky'!BL20,12,FALSE)</f>
        <v>#N/A</v>
      </c>
      <c r="EA32" s="416" t="e">
        <f>HLOOKUP(EA21,Soupisky!J2:'Soupisky'!BM20,12,FALSE)</f>
        <v>#N/A</v>
      </c>
      <c r="EB32" s="416" t="e">
        <f>HLOOKUP(EB21,Soupisky!K2:'Soupisky'!BN20,12,FALSE)</f>
        <v>#N/A</v>
      </c>
      <c r="EC32" s="416" t="e">
        <f>HLOOKUP(EC21,Soupisky!L2:'Soupisky'!BO20,12,FALSE)</f>
        <v>#N/A</v>
      </c>
      <c r="ED32" s="416" t="e">
        <f>HLOOKUP(ED21,Soupisky!M2:'Soupisky'!BP20,12,FALSE)</f>
        <v>#N/A</v>
      </c>
      <c r="EE32" s="417" t="e">
        <f>HLOOKUP(EE21,Soupisky!#REF!:'Soupisky'!BQ20,12,FALSE)</f>
        <v>#REF!</v>
      </c>
    </row>
    <row r="33" spans="1:135" s="39" customFormat="1" ht="18.75" customHeight="1" x14ac:dyDescent="0.2">
      <c r="A33" s="39" t="str">
        <f>IF(B33="N","N",IF(OR(B23="A",B26="A",B27="A",B28="A",B29="A",B30="A",B31="A",B32="A"),"A1","A"))</f>
        <v>N</v>
      </c>
      <c r="B33" s="45" t="str">
        <f>IF(C33="1","N",IF((C23+C26+C27+C28+C29+C30+C31+C32&gt;6),"a","n"))</f>
        <v>n</v>
      </c>
      <c r="C33" s="54" t="str">
        <f t="shared" si="0"/>
        <v>0</v>
      </c>
      <c r="D33" s="117" t="s">
        <v>8</v>
      </c>
      <c r="E33" s="144"/>
      <c r="F33" s="564" t="str">
        <f>IF(F30="","",IF(E33="s",IF(F2="",F54,F2),F30))</f>
        <v/>
      </c>
      <c r="G33" s="565"/>
      <c r="H33" s="565"/>
      <c r="I33" s="565"/>
      <c r="J33" s="565"/>
      <c r="K33" s="567"/>
      <c r="L33" s="144"/>
      <c r="M33" s="564" t="str">
        <f>IF(M29="","",IF(L33="s",IF(M2="",M54,M2),M29))</f>
        <v/>
      </c>
      <c r="N33" s="565"/>
      <c r="O33" s="565"/>
      <c r="P33" s="565"/>
      <c r="Q33" s="565"/>
      <c r="R33" s="565"/>
      <c r="S33" s="565"/>
      <c r="T33" s="566"/>
      <c r="U33" s="146"/>
      <c r="V33" s="147"/>
      <c r="W33" s="147"/>
      <c r="X33" s="147"/>
      <c r="Y33" s="148"/>
      <c r="Z33" s="429" t="str">
        <f t="shared" si="28"/>
        <v/>
      </c>
      <c r="AA33" s="428" t="str">
        <f t="shared" si="29"/>
        <v/>
      </c>
      <c r="AB33" s="108" t="str">
        <f t="shared" si="54"/>
        <v/>
      </c>
      <c r="AC33" s="109" t="str">
        <f t="shared" si="55"/>
        <v/>
      </c>
      <c r="AD33" s="86"/>
      <c r="AE33" s="87" t="str">
        <f t="shared" si="30"/>
        <v/>
      </c>
      <c r="AF33" s="87" t="str">
        <f t="shared" si="31"/>
        <v/>
      </c>
      <c r="AG33" s="87" t="str">
        <f t="shared" si="32"/>
        <v/>
      </c>
      <c r="AH33" s="87" t="str">
        <f t="shared" si="33"/>
        <v/>
      </c>
      <c r="AI33" s="87" t="str">
        <f t="shared" si="34"/>
        <v/>
      </c>
      <c r="AJ33" s="88">
        <f t="shared" si="14"/>
        <v>0</v>
      </c>
      <c r="AK33" s="89" t="str">
        <f t="shared" si="35"/>
        <v/>
      </c>
      <c r="AL33" s="89" t="str">
        <f t="shared" si="36"/>
        <v/>
      </c>
      <c r="AM33" s="89" t="str">
        <f t="shared" si="37"/>
        <v/>
      </c>
      <c r="AN33" s="89" t="str">
        <f t="shared" si="38"/>
        <v/>
      </c>
      <c r="AO33" s="89" t="str">
        <f t="shared" si="39"/>
        <v/>
      </c>
      <c r="AP33" s="90">
        <f t="shared" si="15"/>
        <v>0</v>
      </c>
      <c r="AQ33" s="89" t="str">
        <f t="shared" si="40"/>
        <v/>
      </c>
      <c r="AR33" s="89" t="str">
        <f t="shared" si="41"/>
        <v/>
      </c>
      <c r="AS33" s="89" t="str">
        <f t="shared" si="42"/>
        <v/>
      </c>
      <c r="AT33" s="89" t="str">
        <f t="shared" si="43"/>
        <v/>
      </c>
      <c r="AU33" s="89" t="str">
        <f t="shared" si="44"/>
        <v/>
      </c>
      <c r="AV33" s="91" t="str">
        <f t="shared" si="16"/>
        <v/>
      </c>
      <c r="AW33" s="89" t="str">
        <f t="shared" si="17"/>
        <v/>
      </c>
      <c r="AX33" s="89" t="str">
        <f t="shared" si="18"/>
        <v/>
      </c>
      <c r="AY33" s="89" t="str">
        <f t="shared" si="19"/>
        <v/>
      </c>
      <c r="AZ33" s="89" t="str">
        <f t="shared" si="20"/>
        <v/>
      </c>
      <c r="BA33" s="91" t="str">
        <f t="shared" si="21"/>
        <v/>
      </c>
      <c r="BB33" s="89" t="str">
        <f t="shared" si="22"/>
        <v/>
      </c>
      <c r="BC33" s="89" t="str">
        <f t="shared" si="23"/>
        <v/>
      </c>
      <c r="BD33" s="89" t="str">
        <f t="shared" si="24"/>
        <v/>
      </c>
      <c r="BE33" s="92" t="str">
        <f t="shared" si="25"/>
        <v/>
      </c>
      <c r="BF33" s="54">
        <f t="shared" si="45"/>
        <v>0</v>
      </c>
      <c r="BG33" s="54">
        <f t="shared" si="46"/>
        <v>0</v>
      </c>
      <c r="BH33" s="93">
        <f t="shared" si="56"/>
        <v>0</v>
      </c>
      <c r="BI33" s="93">
        <f t="shared" si="56"/>
        <v>0</v>
      </c>
      <c r="BJ33" s="39">
        <f t="shared" si="26"/>
        <v>0</v>
      </c>
      <c r="BK33" s="39">
        <f t="shared" si="27"/>
        <v>0</v>
      </c>
      <c r="BL33" s="39">
        <f>BF33+BL32</f>
        <v>0</v>
      </c>
      <c r="BM33" s="39">
        <f>BG33+BM32</f>
        <v>0</v>
      </c>
      <c r="BN33" s="39" t="str">
        <f t="shared" si="49"/>
        <v/>
      </c>
      <c r="BO33" s="39" t="str">
        <f t="shared" si="50"/>
        <v/>
      </c>
      <c r="BP33" s="43">
        <f t="shared" si="51"/>
        <v>0</v>
      </c>
      <c r="BQ33" s="43">
        <f t="shared" si="52"/>
        <v>0</v>
      </c>
      <c r="BR33" s="44" t="str">
        <f t="shared" si="57"/>
        <v/>
      </c>
      <c r="BS33" s="45">
        <f t="shared" si="53"/>
        <v>0</v>
      </c>
      <c r="BT33" s="46"/>
      <c r="BU33" s="46">
        <f>IF(AE31="WO",0,IF(BS31="s",BF31,0))</f>
        <v>0</v>
      </c>
      <c r="BV33" s="46">
        <f>IF(AE38="WO",0,IF(BS38="s",BF38,0))</f>
        <v>0</v>
      </c>
      <c r="BW33" s="46">
        <f>IF(AE41="WO",0,IF(BS41="s",BF41,0))</f>
        <v>0</v>
      </c>
      <c r="BX33" s="47"/>
      <c r="BY33" s="47">
        <f>IF(BS31="s",BG31,0)</f>
        <v>0</v>
      </c>
      <c r="BZ33" s="47">
        <f>IF(BS38="s",BG38,0)</f>
        <v>0</v>
      </c>
      <c r="CA33" s="47">
        <f>IF(BS41="s",BG41,0)</f>
        <v>0</v>
      </c>
      <c r="CB33" s="110">
        <f>SUM(BU33:BW33)</f>
        <v>0</v>
      </c>
      <c r="CC33" s="111">
        <f>SUM(BY33:CA33)</f>
        <v>0</v>
      </c>
      <c r="CD33" s="110">
        <f>IF(AE31="WO",0,IF(BS31="s",BP31,0))+IF(AE38="WO",0,IF(BS38="s",BP38,0))+IF(AE41="WO",0,IF(BS41="s",BP41,0))</f>
        <v>0</v>
      </c>
      <c r="CE33" s="111">
        <f>IF(BS31="s",BQ31,0)+IF(BS38="s",BQ38,0)+IF(BS41="s",BQ41,0)</f>
        <v>0</v>
      </c>
      <c r="CF33" s="110">
        <f>IF(AE31="WO",0,IF(BS31="s",AJ31,0))+IF(AE38="WO",0,IF(BS38="s",AJ38,0))+IF(AE41="WO",0,IF(BS41="s",AJ41,0))</f>
        <v>0</v>
      </c>
      <c r="CG33" s="111">
        <f>IF(BS31="s",AP31,0)+IF(BS38="s",AP38,0)+IF(BS41="s",AP41,0)</f>
        <v>0</v>
      </c>
      <c r="CH33" s="49"/>
      <c r="CI33" s="49">
        <f>IF(AF32="WO",0,IF(CV32="s",BG32,0))</f>
        <v>0</v>
      </c>
      <c r="CJ33" s="49">
        <f>IF(AF36="WO",0,IF(CV36="s",BG36,0))</f>
        <v>0</v>
      </c>
      <c r="CK33" s="49">
        <f>IF(AF40="WO",0,IF(CV40="s",BG40,0))</f>
        <v>0</v>
      </c>
      <c r="CL33" s="50"/>
      <c r="CM33" s="50">
        <f>IF(CV32="s",BF32,0)</f>
        <v>0</v>
      </c>
      <c r="CN33" s="50">
        <f>IF(CV36="s",BF36,0)</f>
        <v>0</v>
      </c>
      <c r="CO33" s="50">
        <f>IF(CV40="s",BF40,0)</f>
        <v>0</v>
      </c>
      <c r="CP33" s="112">
        <f>SUM(CI33:CK33)</f>
        <v>0</v>
      </c>
      <c r="CQ33" s="51">
        <f>SUM(CM33:CO33)</f>
        <v>0</v>
      </c>
      <c r="CR33" s="113">
        <f>IF(AF32="WO",0,IF(CV32="s",BQ32,0))+IF(AF36="WO",0,IF(CV36="s",BQ36,0))+IF(AF40="WO",0,IF(CV40="s",BQ40,0))</f>
        <v>0</v>
      </c>
      <c r="CS33" s="114">
        <f>IF(CV32="s",BP32,0)+IF(CV36="s",BP36,0)+IF(CV40="s",BP40,0)</f>
        <v>0</v>
      </c>
      <c r="CT33" s="52">
        <f>IF(AF32="WO",0,IF(CV32="s",AP32,0))+IF(AF36="WO",0,IF(CV36="s",AP36,0))+IF(AF40="WO",0,IF(CV40="s",AP40,0))</f>
        <v>0</v>
      </c>
      <c r="CU33" s="114">
        <f>IF(CV32="s",AJ32,0)+IF(CV36="s",AJ36,0)+IF(CV40="s",AJ40,0)</f>
        <v>0</v>
      </c>
      <c r="CV33" s="53">
        <f t="shared" si="12"/>
        <v>0</v>
      </c>
      <c r="CW33" s="45" t="str">
        <f t="shared" si="58"/>
        <v/>
      </c>
      <c r="CX33" s="38"/>
      <c r="CZ33" s="45"/>
      <c r="DA33" s="54"/>
      <c r="DB33" s="54"/>
      <c r="DC33" s="54"/>
      <c r="DD33" s="54"/>
      <c r="DE33" s="54"/>
      <c r="DF33" s="54"/>
      <c r="DG33" s="54"/>
      <c r="DH33" s="54"/>
      <c r="DP33" s="415" t="e">
        <f>HLOOKUP(G10,DR21:EE39,13,FALSE)</f>
        <v>#N/A</v>
      </c>
      <c r="DQ33" s="415" t="e">
        <f>HLOOKUP(G12,DR21:EE39,13,FALSE)</f>
        <v>#N/A</v>
      </c>
      <c r="DR33" s="416" t="e">
        <f>HLOOKUP(DR21,Soupisky!A2:'Soupisky'!BD20,13,FALSE)</f>
        <v>#N/A</v>
      </c>
      <c r="DS33" s="416" t="e">
        <f>HLOOKUP(DS21,Soupisky!B2:'Soupisky'!BE20,13,FALSE)</f>
        <v>#N/A</v>
      </c>
      <c r="DT33" s="416" t="e">
        <f>HLOOKUP(DT21,Soupisky!C2:'Soupisky'!BF20,13,FALSE)</f>
        <v>#N/A</v>
      </c>
      <c r="DU33" s="416" t="e">
        <f>HLOOKUP(DU21,Soupisky!D2:'Soupisky'!BG20,13,FALSE)</f>
        <v>#N/A</v>
      </c>
      <c r="DV33" s="416" t="e">
        <f>HLOOKUP(DV21,Soupisky!E2:'Soupisky'!BH20,13,FALSE)</f>
        <v>#N/A</v>
      </c>
      <c r="DW33" s="416" t="e">
        <f>HLOOKUP(DW21,Soupisky!F2:'Soupisky'!BI20,13,FALSE)</f>
        <v>#N/A</v>
      </c>
      <c r="DX33" s="416" t="e">
        <f>HLOOKUP(DX21,Soupisky!G2:'Soupisky'!BJ20,13,FALSE)</f>
        <v>#N/A</v>
      </c>
      <c r="DY33" s="416" t="e">
        <f>HLOOKUP(DY21,Soupisky!H2:'Soupisky'!BK20,13,FALSE)</f>
        <v>#N/A</v>
      </c>
      <c r="DZ33" s="416" t="e">
        <f>HLOOKUP(DZ21,Soupisky!I2:'Soupisky'!BL20,13,FALSE)</f>
        <v>#N/A</v>
      </c>
      <c r="EA33" s="416" t="e">
        <f>HLOOKUP(EA21,Soupisky!J2:'Soupisky'!BM20,13,FALSE)</f>
        <v>#N/A</v>
      </c>
      <c r="EB33" s="416" t="e">
        <f>HLOOKUP(EB21,Soupisky!K2:'Soupisky'!BN20,13,FALSE)</f>
        <v>#N/A</v>
      </c>
      <c r="EC33" s="416" t="e">
        <f>HLOOKUP(EC21,Soupisky!L2:'Soupisky'!BO20,13,FALSE)</f>
        <v>#N/A</v>
      </c>
      <c r="ED33" s="416" t="e">
        <f>HLOOKUP(ED21,Soupisky!M2:'Soupisky'!BP20,13,FALSE)</f>
        <v>#N/A</v>
      </c>
      <c r="EE33" s="417" t="e">
        <f>HLOOKUP(EE21,Soupisky!#REF!:'Soupisky'!BQ20,13,FALSE)</f>
        <v>#REF!</v>
      </c>
    </row>
    <row r="34" spans="1:135" s="39" customFormat="1" ht="18.75" customHeight="1" thickBot="1" x14ac:dyDescent="0.25">
      <c r="A34" s="39" t="str">
        <f>IF(B34="N","N",IF(OR(B23="A",B26="A",B27="A",B28="A",B29="A",B30="A",B31="A",B32="A",B33="A"),"A1","A"))</f>
        <v>N</v>
      </c>
      <c r="B34" s="45" t="str">
        <f>IF(C34="1","N",IF((C23+C26+C27+C28+C29+C30+C31+C32+C33&gt;7),"a","n"))</f>
        <v>n</v>
      </c>
      <c r="C34" s="54" t="str">
        <f t="shared" si="0"/>
        <v>0</v>
      </c>
      <c r="D34" s="117" t="s">
        <v>9</v>
      </c>
      <c r="E34" s="144"/>
      <c r="F34" s="564" t="str">
        <f>IF(F27="","",IF(E34="s",IF(F2="",F54,F2),F27))</f>
        <v/>
      </c>
      <c r="G34" s="565"/>
      <c r="H34" s="565"/>
      <c r="I34" s="565"/>
      <c r="J34" s="565"/>
      <c r="K34" s="567"/>
      <c r="L34" s="144"/>
      <c r="M34" s="564" t="str">
        <f>IF(M30="","",IF(L34="s",IF(M2="",M54,M2),M30))</f>
        <v/>
      </c>
      <c r="N34" s="565"/>
      <c r="O34" s="565"/>
      <c r="P34" s="565"/>
      <c r="Q34" s="565"/>
      <c r="R34" s="565"/>
      <c r="S34" s="565"/>
      <c r="T34" s="566"/>
      <c r="U34" s="146"/>
      <c r="V34" s="147"/>
      <c r="W34" s="147"/>
      <c r="X34" s="147"/>
      <c r="Y34" s="148"/>
      <c r="Z34" s="429" t="str">
        <f t="shared" si="28"/>
        <v/>
      </c>
      <c r="AA34" s="428" t="str">
        <f t="shared" si="29"/>
        <v/>
      </c>
      <c r="AB34" s="108" t="str">
        <f t="shared" si="54"/>
        <v/>
      </c>
      <c r="AC34" s="109" t="str">
        <f t="shared" si="55"/>
        <v/>
      </c>
      <c r="AD34" s="86"/>
      <c r="AE34" s="87" t="str">
        <f t="shared" si="30"/>
        <v/>
      </c>
      <c r="AF34" s="87" t="str">
        <f t="shared" si="31"/>
        <v/>
      </c>
      <c r="AG34" s="87" t="str">
        <f t="shared" si="32"/>
        <v/>
      </c>
      <c r="AH34" s="87" t="str">
        <f t="shared" si="33"/>
        <v/>
      </c>
      <c r="AI34" s="87" t="str">
        <f t="shared" si="34"/>
        <v/>
      </c>
      <c r="AJ34" s="121">
        <f t="shared" si="14"/>
        <v>0</v>
      </c>
      <c r="AK34" s="89" t="str">
        <f t="shared" si="35"/>
        <v/>
      </c>
      <c r="AL34" s="89" t="str">
        <f t="shared" si="36"/>
        <v/>
      </c>
      <c r="AM34" s="89" t="str">
        <f t="shared" si="37"/>
        <v/>
      </c>
      <c r="AN34" s="89" t="str">
        <f t="shared" si="38"/>
        <v/>
      </c>
      <c r="AO34" s="89" t="str">
        <f t="shared" si="39"/>
        <v/>
      </c>
      <c r="AP34" s="121">
        <f t="shared" si="15"/>
        <v>0</v>
      </c>
      <c r="AQ34" s="89" t="str">
        <f t="shared" si="40"/>
        <v/>
      </c>
      <c r="AR34" s="89" t="str">
        <f t="shared" si="41"/>
        <v/>
      </c>
      <c r="AS34" s="89" t="str">
        <f t="shared" si="42"/>
        <v/>
      </c>
      <c r="AT34" s="89" t="str">
        <f t="shared" si="43"/>
        <v/>
      </c>
      <c r="AU34" s="89" t="str">
        <f t="shared" si="44"/>
        <v/>
      </c>
      <c r="AV34" s="91" t="str">
        <f t="shared" si="16"/>
        <v/>
      </c>
      <c r="AW34" s="89" t="str">
        <f t="shared" si="17"/>
        <v/>
      </c>
      <c r="AX34" s="89" t="str">
        <f t="shared" si="18"/>
        <v/>
      </c>
      <c r="AY34" s="89" t="str">
        <f t="shared" si="19"/>
        <v/>
      </c>
      <c r="AZ34" s="89" t="str">
        <f t="shared" si="20"/>
        <v/>
      </c>
      <c r="BA34" s="91" t="str">
        <f t="shared" si="21"/>
        <v/>
      </c>
      <c r="BB34" s="89" t="str">
        <f t="shared" si="22"/>
        <v/>
      </c>
      <c r="BC34" s="89" t="str">
        <f t="shared" si="23"/>
        <v/>
      </c>
      <c r="BD34" s="89" t="str">
        <f t="shared" si="24"/>
        <v/>
      </c>
      <c r="BE34" s="92" t="str">
        <f t="shared" si="25"/>
        <v/>
      </c>
      <c r="BF34" s="122">
        <f t="shared" si="45"/>
        <v>0</v>
      </c>
      <c r="BG34" s="123">
        <f t="shared" si="46"/>
        <v>0</v>
      </c>
      <c r="BH34" s="93">
        <f t="shared" si="56"/>
        <v>0</v>
      </c>
      <c r="BI34" s="93">
        <f t="shared" si="56"/>
        <v>0</v>
      </c>
      <c r="BJ34" s="124">
        <f t="shared" si="26"/>
        <v>0</v>
      </c>
      <c r="BK34" s="124">
        <f t="shared" si="27"/>
        <v>0</v>
      </c>
      <c r="BL34" s="124">
        <f t="shared" si="47"/>
        <v>0</v>
      </c>
      <c r="BM34" s="124">
        <f t="shared" si="48"/>
        <v>0</v>
      </c>
      <c r="BN34" s="124" t="str">
        <f t="shared" si="49"/>
        <v/>
      </c>
      <c r="BO34" s="125" t="str">
        <f t="shared" si="50"/>
        <v/>
      </c>
      <c r="BP34" s="43">
        <f t="shared" si="51"/>
        <v>0</v>
      </c>
      <c r="BQ34" s="43">
        <f t="shared" si="52"/>
        <v>0</v>
      </c>
      <c r="BR34" s="44" t="str">
        <f t="shared" si="57"/>
        <v/>
      </c>
      <c r="BS34" s="45">
        <f t="shared" si="53"/>
        <v>0</v>
      </c>
      <c r="BT34" s="46"/>
      <c r="BU34" s="46">
        <f>IF(AE32="WO",0,IF(BS32="s",BF32,0))</f>
        <v>0</v>
      </c>
      <c r="BV34" s="46">
        <f>IF(AE35="WO",0,IF(BS35="s",BF35,0))</f>
        <v>0</v>
      </c>
      <c r="BW34" s="46">
        <f>IF(AE42="WO",0,IF(BS42="s",BF42,0))</f>
        <v>0</v>
      </c>
      <c r="BX34" s="47"/>
      <c r="BY34" s="47">
        <f>IF(BS32="s",BG32,0)</f>
        <v>0</v>
      </c>
      <c r="BZ34" s="47">
        <f>IF(BS35="s",BG35,0)</f>
        <v>0</v>
      </c>
      <c r="CA34" s="47">
        <f>IF(BS42="s",BG42,0)</f>
        <v>0</v>
      </c>
      <c r="CB34" s="110">
        <f>SUM(BU34:BW34)</f>
        <v>0</v>
      </c>
      <c r="CC34" s="111">
        <f>SUM(BY34:CA34)</f>
        <v>0</v>
      </c>
      <c r="CD34" s="110">
        <f>IF(AE32="WO",0,IF(BS32="s",BP32,0))+IF(AE35="WO",0,IF(BS35="s",BP35,0))+IF(AE42="WO",0,IF(BS42="s",BP42,0))</f>
        <v>0</v>
      </c>
      <c r="CE34" s="111">
        <f>IF(BS32="s",BQ32,0)+IF(BS35="s",BQ35,0)+IF(BS42="s",BQ42,0)</f>
        <v>0</v>
      </c>
      <c r="CF34" s="110">
        <f>IF(AE32="WO",0,IF(BS32="s",AJ32,0))+IF(AE35="WO",0,IF(BS35="s",AJ35,0))+IF(AE42="WO",0,IF(BS42="s",AJ42,0))</f>
        <v>0</v>
      </c>
      <c r="CG34" s="111">
        <f>IF(BS32="s",AP32,0)+IF(BS35="s",AP35,0)+IF(BS42="s",AP42,0)</f>
        <v>0</v>
      </c>
      <c r="CH34" s="49"/>
      <c r="CI34" s="49">
        <f>IF(AF33="WO",0,IF(CV33="S",BG33,0))</f>
        <v>0</v>
      </c>
      <c r="CJ34" s="49">
        <f>IF(AF37="WO",0,IF(CV37="S",BG37,0))</f>
        <v>0</v>
      </c>
      <c r="CK34" s="49">
        <f>IF(AF41="WO",0,IF(CV41="s",BG41,0))</f>
        <v>0</v>
      </c>
      <c r="CL34" s="50"/>
      <c r="CM34" s="50">
        <f>IF(CV33="s",BF33,0)</f>
        <v>0</v>
      </c>
      <c r="CN34" s="50">
        <f>IF(CV37="s",BF37,0)</f>
        <v>0</v>
      </c>
      <c r="CO34" s="50">
        <f>IF(CV41="s",BF41,0)</f>
        <v>0</v>
      </c>
      <c r="CP34" s="112">
        <f>SUM(CI34:CK34)</f>
        <v>0</v>
      </c>
      <c r="CQ34" s="51">
        <f>SUM(CM34:CO34)</f>
        <v>0</v>
      </c>
      <c r="CR34" s="113">
        <f>IF(AF33="WO",0,IF(CV33="s",BQ33,0))+IF(AF37="WO",0,IF(CV37="s",BQ37,0))+IF(AF41="WO",0,IF(CV41="s",BQ41,0))</f>
        <v>0</v>
      </c>
      <c r="CS34" s="114">
        <f>IF(CV33="s",BP33,0)+IF(CV37="s",BP37,0)+IF(CV41="s",BP41,0)</f>
        <v>0</v>
      </c>
      <c r="CT34" s="52">
        <f>IF(AF33="WO",0,IF(CV33="s",AP33,0))+IF(AF37="WO",0,IF(CV37="s",AP37,0))+IF(AF41="WO",0,IF(CV41="s",AP41,0))</f>
        <v>0</v>
      </c>
      <c r="CU34" s="114">
        <f>IF(CV33="s",AJ33,0)+IF(CV37="s",AJ37,0)+IF(CV41="s",AJ41,0)</f>
        <v>0</v>
      </c>
      <c r="CV34" s="53">
        <f t="shared" si="12"/>
        <v>0</v>
      </c>
      <c r="CW34" s="45" t="str">
        <f t="shared" si="58"/>
        <v/>
      </c>
      <c r="CX34" s="38"/>
      <c r="CZ34" s="45"/>
      <c r="DA34" s="54"/>
      <c r="DB34" s="54"/>
      <c r="DC34" s="54"/>
      <c r="DD34" s="54"/>
      <c r="DE34" s="54"/>
      <c r="DF34" s="54"/>
      <c r="DG34" s="54"/>
      <c r="DH34" s="54"/>
      <c r="DP34" s="415" t="e">
        <f>HLOOKUP(G10,DR21:EE39,14,FALSE)</f>
        <v>#N/A</v>
      </c>
      <c r="DQ34" s="415" t="e">
        <f>HLOOKUP(G12,DR21:EE39,14,FALSE)</f>
        <v>#N/A</v>
      </c>
      <c r="DR34" s="416" t="e">
        <f>HLOOKUP(DR21,Soupisky!A2:'Soupisky'!BD20,14,FALSE)</f>
        <v>#N/A</v>
      </c>
      <c r="DS34" s="416" t="e">
        <f>HLOOKUP(DS21,Soupisky!B2:'Soupisky'!BE20,14,FALSE)</f>
        <v>#N/A</v>
      </c>
      <c r="DT34" s="416" t="e">
        <f>HLOOKUP(DT21,Soupisky!C2:'Soupisky'!BF20,14,FALSE)</f>
        <v>#N/A</v>
      </c>
      <c r="DU34" s="416" t="e">
        <f>HLOOKUP(DU21,Soupisky!D2:'Soupisky'!BG20,14,FALSE)</f>
        <v>#N/A</v>
      </c>
      <c r="DV34" s="416" t="e">
        <f>HLOOKUP(DV21,Soupisky!E2:'Soupisky'!BH20,14,FALSE)</f>
        <v>#N/A</v>
      </c>
      <c r="DW34" s="416" t="e">
        <f>HLOOKUP(DW21,Soupisky!F2:'Soupisky'!BI20,14,FALSE)</f>
        <v>#N/A</v>
      </c>
      <c r="DX34" s="416" t="e">
        <f>HLOOKUP(DX21,Soupisky!G2:'Soupisky'!BJ20,14,FALSE)</f>
        <v>#N/A</v>
      </c>
      <c r="DY34" s="416" t="e">
        <f>HLOOKUP(DY21,Soupisky!H2:'Soupisky'!BK20,14,FALSE)</f>
        <v>#N/A</v>
      </c>
      <c r="DZ34" s="416" t="e">
        <f>HLOOKUP(DZ21,Soupisky!I2:'Soupisky'!BL20,14,FALSE)</f>
        <v>#N/A</v>
      </c>
      <c r="EA34" s="416" t="e">
        <f>HLOOKUP(EA21,Soupisky!J2:'Soupisky'!BM20,14,FALSE)</f>
        <v>#N/A</v>
      </c>
      <c r="EB34" s="416" t="e">
        <f>HLOOKUP(EB21,Soupisky!K2:'Soupisky'!BN20,14,FALSE)</f>
        <v>#N/A</v>
      </c>
      <c r="EC34" s="416" t="e">
        <f>HLOOKUP(EC21,Soupisky!L2:'Soupisky'!BO20,14,FALSE)</f>
        <v>#N/A</v>
      </c>
      <c r="ED34" s="416" t="e">
        <f>HLOOKUP(ED21,Soupisky!M2:'Soupisky'!BP20,14,FALSE)</f>
        <v>#N/A</v>
      </c>
      <c r="EE34" s="417" t="e">
        <f>HLOOKUP(EE21,Soupisky!#REF!:'Soupisky'!BQ20,14,FALSE)</f>
        <v>#REF!</v>
      </c>
    </row>
    <row r="35" spans="1:135" s="39" customFormat="1" ht="18.75" customHeight="1" x14ac:dyDescent="0.2">
      <c r="A35" s="39" t="str">
        <f>IF(B35="N","N",IF(OR(B23="A",B26="A",B27="A",B28="A",B29="A",B30="A",B31="A",B32="A",B33="A",B34="A"),"A1","A"))</f>
        <v>N</v>
      </c>
      <c r="B35" s="45" t="str">
        <f>IF(C35="1","N",IF((C23+C26+C27+C28+C29+C30+C31+C32+C33+C34&gt;8),"a","n"))</f>
        <v>n</v>
      </c>
      <c r="C35" s="54" t="str">
        <f t="shared" si="0"/>
        <v>0</v>
      </c>
      <c r="D35" s="117" t="s">
        <v>10</v>
      </c>
      <c r="E35" s="144"/>
      <c r="F35" s="564" t="str">
        <f>IF(F32="","",IF(E35="s",IF(F2="",F54,F2),F32))</f>
        <v/>
      </c>
      <c r="G35" s="565"/>
      <c r="H35" s="565"/>
      <c r="I35" s="565"/>
      <c r="J35" s="565"/>
      <c r="K35" s="567"/>
      <c r="L35" s="144"/>
      <c r="M35" s="564" t="str">
        <f>IF(M31="","",IF(L35="s",IF(M2="",M54,M2),M31))</f>
        <v/>
      </c>
      <c r="N35" s="565"/>
      <c r="O35" s="565"/>
      <c r="P35" s="565"/>
      <c r="Q35" s="565"/>
      <c r="R35" s="565"/>
      <c r="S35" s="565"/>
      <c r="T35" s="566"/>
      <c r="U35" s="146"/>
      <c r="V35" s="147"/>
      <c r="W35" s="147"/>
      <c r="X35" s="147"/>
      <c r="Y35" s="148"/>
      <c r="Z35" s="429" t="str">
        <f t="shared" si="28"/>
        <v/>
      </c>
      <c r="AA35" s="428" t="str">
        <f t="shared" si="29"/>
        <v/>
      </c>
      <c r="AB35" s="108" t="str">
        <f t="shared" si="54"/>
        <v/>
      </c>
      <c r="AC35" s="109" t="str">
        <f t="shared" si="55"/>
        <v/>
      </c>
      <c r="AD35" s="86"/>
      <c r="AE35" s="87" t="str">
        <f t="shared" si="30"/>
        <v/>
      </c>
      <c r="AF35" s="87" t="str">
        <f t="shared" si="31"/>
        <v/>
      </c>
      <c r="AG35" s="87" t="str">
        <f t="shared" si="32"/>
        <v/>
      </c>
      <c r="AH35" s="87" t="str">
        <f t="shared" si="33"/>
        <v/>
      </c>
      <c r="AI35" s="87" t="str">
        <f t="shared" si="34"/>
        <v/>
      </c>
      <c r="AJ35" s="88">
        <f t="shared" si="14"/>
        <v>0</v>
      </c>
      <c r="AK35" s="89" t="str">
        <f t="shared" si="35"/>
        <v/>
      </c>
      <c r="AL35" s="89" t="str">
        <f t="shared" si="36"/>
        <v/>
      </c>
      <c r="AM35" s="89" t="str">
        <f t="shared" si="37"/>
        <v/>
      </c>
      <c r="AN35" s="89" t="str">
        <f>IF(OR(BJ34=10,BK34=10),0,IF(X35="-0",0,IF(AH35="","",IF(AND(AH35&gt;=0,AH35&lt;10),11,0)+IF(AND(AH35&gt;0,AH35&gt;9),AH35+2,0)+IF(AH35&lt;0,-AH35,0))))</f>
        <v/>
      </c>
      <c r="AO35" s="89" t="str">
        <f>IF(OR(BJ34=10,BK34=10),0,IF(Y35="-0",0,IF(AI35="","",IF(AND(AI35&gt;=0,AI35&lt;10),11,0)+IF(AND(AI35&gt;0,AI35&gt;9),AI35+2,0)+IF(AI35&lt;0,-AI35,0))))</f>
        <v/>
      </c>
      <c r="AP35" s="90">
        <f t="shared" si="15"/>
        <v>0</v>
      </c>
      <c r="AQ35" s="89" t="str">
        <f t="shared" si="40"/>
        <v/>
      </c>
      <c r="AR35" s="89" t="str">
        <f t="shared" si="41"/>
        <v/>
      </c>
      <c r="AS35" s="89" t="str">
        <f t="shared" si="42"/>
        <v/>
      </c>
      <c r="AT35" s="89" t="str">
        <f>IF(OR(BJ34=10,BK34=10),0,IF(X35="-0",11,IF(AH35="","",IF(AH35&gt;=0,AH35,0)+IF(AND(AH35&lt;0,AH35&lt;-9),-AH35+2,0)+IF(AND(AH35&lt;0,AH35&gt;-10),11,0))))</f>
        <v/>
      </c>
      <c r="AU35" s="89" t="str">
        <f>IF(OR(BJ34=10,BK34=10),0,IF(Y35="-0",11,IF(AI35="","",IF(AI35&gt;=0,AI35,0)+IF(AND(AI35&lt;0,AI35&lt;-9),-AI35+2,0)+IF(AND(AI35&lt;0,AI35&gt;-10),11,0))))</f>
        <v/>
      </c>
      <c r="AV35" s="91" t="str">
        <f t="shared" si="16"/>
        <v/>
      </c>
      <c r="AW35" s="89" t="str">
        <f t="shared" si="17"/>
        <v/>
      </c>
      <c r="AX35" s="89" t="str">
        <f t="shared" si="18"/>
        <v/>
      </c>
      <c r="AY35" s="89" t="str">
        <f t="shared" si="19"/>
        <v/>
      </c>
      <c r="AZ35" s="89" t="str">
        <f t="shared" si="20"/>
        <v/>
      </c>
      <c r="BA35" s="91" t="str">
        <f t="shared" si="21"/>
        <v/>
      </c>
      <c r="BB35" s="89" t="str">
        <f t="shared" si="22"/>
        <v/>
      </c>
      <c r="BC35" s="89" t="str">
        <f t="shared" si="23"/>
        <v/>
      </c>
      <c r="BD35" s="89" t="str">
        <f t="shared" si="24"/>
        <v/>
      </c>
      <c r="BE35" s="92" t="str">
        <f t="shared" si="25"/>
        <v/>
      </c>
      <c r="BF35" s="54">
        <f t="shared" si="45"/>
        <v>0</v>
      </c>
      <c r="BG35" s="54">
        <f t="shared" si="46"/>
        <v>0</v>
      </c>
      <c r="BH35" s="93">
        <f>IF(BJ34=10,0,IF(BK34=10,0,IF(Z35=3,1,0)))</f>
        <v>0</v>
      </c>
      <c r="BI35" s="93">
        <f>IF(BJ34=10,0,IF(BK34=10,0,IF(AA35=3,1,0)))</f>
        <v>0</v>
      </c>
      <c r="BJ35" s="39">
        <f t="shared" ref="BJ35:BJ42" si="59">IF(SUM(BF13:BF35)&gt;10,10,SUM(BF13:BF35))</f>
        <v>0</v>
      </c>
      <c r="BK35" s="39">
        <f t="shared" ref="BK35:BK42" si="60">IF(SUM(BG4:BG35)&gt;10,10,(SUM(BG4:BG35)))</f>
        <v>0</v>
      </c>
      <c r="BL35" s="39">
        <f t="shared" si="47"/>
        <v>0</v>
      </c>
      <c r="BM35" s="39">
        <f t="shared" si="48"/>
        <v>0</v>
      </c>
      <c r="BN35" s="39" t="str">
        <f t="shared" ref="BN35:BN42" si="61">IF(BJ34=10,0,IF(BK34=10,0,Z35))</f>
        <v/>
      </c>
      <c r="BO35" s="39" t="str">
        <f t="shared" ref="BO35:BO42" si="62">IF(BJ34=10,0,IF(BK34=10,0,AA35))</f>
        <v/>
      </c>
      <c r="BP35" s="43">
        <f t="shared" si="51"/>
        <v>0</v>
      </c>
      <c r="BQ35" s="43">
        <f t="shared" si="52"/>
        <v>0</v>
      </c>
      <c r="BR35" s="44" t="str">
        <f t="shared" si="57"/>
        <v/>
      </c>
      <c r="BS35" s="45">
        <f>IF(BS32="s","s",E35)</f>
        <v>0</v>
      </c>
      <c r="BT35" s="46"/>
      <c r="BU35" s="46">
        <f>IF(AE33="WO",0,IF(BS33="s",BF33,0))</f>
        <v>0</v>
      </c>
      <c r="BV35" s="46">
        <f>IF(AE36="WO",0,IF(BS36="s",BF36,0))</f>
        <v>0</v>
      </c>
      <c r="BW35" s="46">
        <f>IF(AE39="WO",0,IF(BS39="s",BF39,0))</f>
        <v>0</v>
      </c>
      <c r="BX35" s="47"/>
      <c r="BY35" s="47">
        <f>IF(BS33="s",BG33,0)</f>
        <v>0</v>
      </c>
      <c r="BZ35" s="47">
        <f>IF(BS36="s",BG36,0)</f>
        <v>0</v>
      </c>
      <c r="CA35" s="47">
        <f>IF(BS39="s",BG39,0)</f>
        <v>0</v>
      </c>
      <c r="CB35" s="126">
        <f>SUM(BU35:BW35)</f>
        <v>0</v>
      </c>
      <c r="CC35" s="127">
        <f>SUM(BY35:CA35)</f>
        <v>0</v>
      </c>
      <c r="CD35" s="126">
        <f>IF(AE33="WO",0,IF(BS33="s",BP33,0))+IF(AE36="WO",0,IF(BS36="s",BP36,0))+IF(AE39="WO",0,IF(BS39="s",BP39,0))</f>
        <v>0</v>
      </c>
      <c r="CE35" s="127">
        <f>IF(BS33="s",BQ33,0)+IF(BS36="s",BQ36,0)+IF(BS39="s",BQ39,0)</f>
        <v>0</v>
      </c>
      <c r="CF35" s="126">
        <f>IF(AE33="WO",0,IF(BS33="s",AJ33,0))+IF(AE36="WO",0,IF(BS36="s",AJ36,0))+IF(AE39="WO",0,IF(BS39="s",AJ39,0))</f>
        <v>0</v>
      </c>
      <c r="CG35" s="127">
        <f>IF(BS33="s",AP33,0)+IF(BS36="s",AP36,0)+IF(BS39="s",AP39,0)</f>
        <v>0</v>
      </c>
      <c r="CH35" s="49"/>
      <c r="CI35" s="49">
        <f>IF(AF34="WO",0,IF(CV34="s",BG34,0))</f>
        <v>0</v>
      </c>
      <c r="CJ35" s="49">
        <f>IF(AF38="WO",0,IF(CV38="s",BG38,0))</f>
        <v>0</v>
      </c>
      <c r="CK35" s="49">
        <f>IF(AF42="WO",0,IF(CV42="s",BG42,0))</f>
        <v>0</v>
      </c>
      <c r="CL35" s="50"/>
      <c r="CM35" s="50">
        <f>IF(CV34="s",BF34,0)</f>
        <v>0</v>
      </c>
      <c r="CN35" s="50">
        <f>IF(CV38="s",BF38,0)</f>
        <v>0</v>
      </c>
      <c r="CO35" s="50">
        <f>IF(CV42="s",BF42,0)</f>
        <v>0</v>
      </c>
      <c r="CP35" s="128">
        <f>SUM(CI35:CK35)</f>
        <v>0</v>
      </c>
      <c r="CQ35" s="129">
        <f>SUM(CM35:CO35)</f>
        <v>0</v>
      </c>
      <c r="CR35" s="130">
        <f>IF(AF34="WO",0,IF(CV34="s",BQ34,0))+IF(AF38="WO",0,IF(CV38="s",BQ38,0))+IF(AF42="WO",0,IF(CV42="s",BQ42,0))</f>
        <v>0</v>
      </c>
      <c r="CS35" s="131">
        <f>IF(CV34="s",BP34,0)+IF(CV38="s",BP38,0)+IF(CV42="s",BP42,0)</f>
        <v>0</v>
      </c>
      <c r="CT35" s="132">
        <f>IF(AF34="WO",0,IF(CV34="s",AP34,0))+IF(AF38="WO",0,IF(CV38="s",AP38,0))+IF(AF42="WO",0,IF(CV42="s",AP42,0))</f>
        <v>0</v>
      </c>
      <c r="CU35" s="131">
        <f>IF(CV34="s",AJ34,0)+IF(CV38="s",AJ38,0)+IF(CV42="s",AJ42,0)</f>
        <v>0</v>
      </c>
      <c r="CV35" s="53">
        <f>IF(CV31="s","s",L35)</f>
        <v>0</v>
      </c>
      <c r="CW35" s="45" t="str">
        <f t="shared" si="58"/>
        <v/>
      </c>
      <c r="CX35" s="38"/>
      <c r="CZ35" s="45"/>
      <c r="DA35" s="54"/>
      <c r="DB35" s="54"/>
      <c r="DC35" s="54"/>
      <c r="DD35" s="54"/>
      <c r="DE35" s="54"/>
      <c r="DF35" s="54"/>
      <c r="DG35" s="54"/>
      <c r="DH35" s="54"/>
      <c r="DP35" s="415" t="e">
        <f>HLOOKUP(G10,DR21:EE39,15,FALSE)</f>
        <v>#N/A</v>
      </c>
      <c r="DQ35" s="415" t="e">
        <f>HLOOKUP(G12,DR21:EE39,15,FALSE)</f>
        <v>#N/A</v>
      </c>
      <c r="DR35" s="416" t="e">
        <f>HLOOKUP(DR21,Soupisky!A2:'Soupisky'!BD20,15,FALSE)</f>
        <v>#N/A</v>
      </c>
      <c r="DS35" s="416" t="e">
        <f>HLOOKUP(DS21,Soupisky!B2:'Soupisky'!BE20,15,FALSE)</f>
        <v>#N/A</v>
      </c>
      <c r="DT35" s="416" t="e">
        <f>HLOOKUP(DT21,Soupisky!C2:'Soupisky'!BF20,15,FALSE)</f>
        <v>#N/A</v>
      </c>
      <c r="DU35" s="416" t="e">
        <f>HLOOKUP(DU21,Soupisky!D2:'Soupisky'!BG20,15,FALSE)</f>
        <v>#N/A</v>
      </c>
      <c r="DV35" s="416" t="e">
        <f>HLOOKUP(DV21,Soupisky!E2:'Soupisky'!BH20,15,FALSE)</f>
        <v>#N/A</v>
      </c>
      <c r="DW35" s="416" t="e">
        <f>HLOOKUP(DW21,Soupisky!F2:'Soupisky'!BI20,15,FALSE)</f>
        <v>#N/A</v>
      </c>
      <c r="DX35" s="416" t="e">
        <f>HLOOKUP(DX21,Soupisky!G2:'Soupisky'!BJ20,15,FALSE)</f>
        <v>#N/A</v>
      </c>
      <c r="DY35" s="416" t="e">
        <f>HLOOKUP(DY21,Soupisky!H2:'Soupisky'!BK20,15,FALSE)</f>
        <v>#N/A</v>
      </c>
      <c r="DZ35" s="416" t="e">
        <f>HLOOKUP(DZ21,Soupisky!I2:'Soupisky'!BL20,15,FALSE)</f>
        <v>#N/A</v>
      </c>
      <c r="EA35" s="416" t="e">
        <f>HLOOKUP(EA21,Soupisky!J2:'Soupisky'!BM20,15,FALSE)</f>
        <v>#N/A</v>
      </c>
      <c r="EB35" s="416" t="e">
        <f>HLOOKUP(EB21,Soupisky!K2:'Soupisky'!BN20,15,FALSE)</f>
        <v>#N/A</v>
      </c>
      <c r="EC35" s="416" t="e">
        <f>HLOOKUP(EC21,Soupisky!L2:'Soupisky'!BO20,15,FALSE)</f>
        <v>#N/A</v>
      </c>
      <c r="ED35" s="416" t="e">
        <f>HLOOKUP(ED21,Soupisky!M2:'Soupisky'!BP20,15,FALSE)</f>
        <v>#N/A</v>
      </c>
      <c r="EE35" s="417" t="e">
        <f>HLOOKUP(EE21,Soupisky!#REF!:'Soupisky'!BQ20,15,FALSE)</f>
        <v>#REF!</v>
      </c>
    </row>
    <row r="36" spans="1:135" s="39" customFormat="1" ht="18.75" customHeight="1" thickBot="1" x14ac:dyDescent="0.25">
      <c r="A36" s="39" t="str">
        <f>IF(B36="N","N",IF(OR(B23="A",B26="A",B27="A",B28="A",B29="A",B30="A",B31="A",B32="A",B33="A",B34="A",B35="A"),"A1","A"))</f>
        <v>N</v>
      </c>
      <c r="B36" s="45" t="str">
        <f>IF(C36="1","N",IF((C23+C26+C27+C28+C29+C30+C31+C32+C33+C34+C35&gt;9),"a","n"))</f>
        <v>n</v>
      </c>
      <c r="C36" s="54" t="str">
        <f t="shared" si="0"/>
        <v>0</v>
      </c>
      <c r="D36" s="117" t="s">
        <v>11</v>
      </c>
      <c r="E36" s="144"/>
      <c r="F36" s="564" t="str">
        <f>IF(F33="","",IF(E36="s",IF(F2="",F54,F2),F33))</f>
        <v/>
      </c>
      <c r="G36" s="565"/>
      <c r="H36" s="565"/>
      <c r="I36" s="565"/>
      <c r="J36" s="565"/>
      <c r="K36" s="567"/>
      <c r="L36" s="144"/>
      <c r="M36" s="564" t="str">
        <f>IF(M32="","",IF(L36="s",IF(M2="",M54,M2),M32))</f>
        <v/>
      </c>
      <c r="N36" s="565"/>
      <c r="O36" s="565"/>
      <c r="P36" s="565"/>
      <c r="Q36" s="565"/>
      <c r="R36" s="565"/>
      <c r="S36" s="565"/>
      <c r="T36" s="566"/>
      <c r="U36" s="146"/>
      <c r="V36" s="147"/>
      <c r="W36" s="147"/>
      <c r="X36" s="147"/>
      <c r="Y36" s="148"/>
      <c r="Z36" s="429" t="str">
        <f t="shared" si="28"/>
        <v/>
      </c>
      <c r="AA36" s="428" t="str">
        <f t="shared" si="29"/>
        <v/>
      </c>
      <c r="AB36" s="108" t="str">
        <f t="shared" si="54"/>
        <v/>
      </c>
      <c r="AC36" s="109" t="str">
        <f t="shared" si="55"/>
        <v/>
      </c>
      <c r="AD36" s="86"/>
      <c r="AE36" s="87" t="str">
        <f t="shared" si="30"/>
        <v/>
      </c>
      <c r="AF36" s="87" t="str">
        <f t="shared" si="31"/>
        <v/>
      </c>
      <c r="AG36" s="87" t="str">
        <f t="shared" si="32"/>
        <v/>
      </c>
      <c r="AH36" s="87" t="str">
        <f t="shared" si="33"/>
        <v/>
      </c>
      <c r="AI36" s="87" t="str">
        <f t="shared" si="34"/>
        <v/>
      </c>
      <c r="AJ36" s="88">
        <f t="shared" si="14"/>
        <v>0</v>
      </c>
      <c r="AK36" s="89" t="str">
        <f t="shared" si="35"/>
        <v/>
      </c>
      <c r="AL36" s="89" t="str">
        <f t="shared" si="36"/>
        <v/>
      </c>
      <c r="AM36" s="89" t="str">
        <f t="shared" si="37"/>
        <v/>
      </c>
      <c r="AN36" s="89" t="str">
        <f t="shared" ref="AN36:AN42" si="63">IF(OR(BJ35=10,BK35=10),0,IF(X36="-0",0,IF(AH36="","",IF(AND(AH36&gt;=0,AH36&lt;10),11,0)+IF(AND(AH36&gt;0,AH36&gt;9),AH36+2,0)+IF(AH36&lt;0,-AH36,0))))</f>
        <v/>
      </c>
      <c r="AO36" s="89" t="str">
        <f t="shared" ref="AO36:AO42" si="64">IF(OR(BJ35=10,BK35=10),0,IF(Y36="-0",0,IF(AI36="","",IF(AND(AI36&gt;=0,AI36&lt;10),11,0)+IF(AND(AI36&gt;0,AI36&gt;9),AI36+2,0)+IF(AI36&lt;0,-AI36,0))))</f>
        <v/>
      </c>
      <c r="AP36" s="90">
        <f t="shared" si="15"/>
        <v>0</v>
      </c>
      <c r="AQ36" s="89" t="str">
        <f t="shared" si="40"/>
        <v/>
      </c>
      <c r="AR36" s="89" t="str">
        <f t="shared" si="41"/>
        <v/>
      </c>
      <c r="AS36" s="89" t="str">
        <f t="shared" si="42"/>
        <v/>
      </c>
      <c r="AT36" s="89" t="str">
        <f t="shared" ref="AT36:AT42" si="65">IF(OR(BJ35=10,BK35=10),0,IF(X36="-0",11,IF(AH36="","",IF(AH36&gt;=0,AH36,0)+IF(AND(AH36&lt;0,AH36&lt;-9),-AH36+2,0)+IF(AND(AH36&lt;0,AH36&gt;-10),11,0))))</f>
        <v/>
      </c>
      <c r="AU36" s="89" t="str">
        <f t="shared" ref="AU36:AU42" si="66">IF(OR(BJ35=10,BK35=10),0,IF(Y36="-0",11,IF(AI36="","",IF(AI36&gt;=0,AI36,0)+IF(AND(AI36&lt;0,AI36&lt;-9),-AI36+2,0)+IF(AND(AI36&lt;0,AI36&gt;-10),11,0))))</f>
        <v/>
      </c>
      <c r="AV36" s="91" t="str">
        <f t="shared" si="16"/>
        <v/>
      </c>
      <c r="AW36" s="89" t="str">
        <f t="shared" si="17"/>
        <v/>
      </c>
      <c r="AX36" s="89" t="str">
        <f t="shared" si="18"/>
        <v/>
      </c>
      <c r="AY36" s="89" t="str">
        <f t="shared" si="19"/>
        <v/>
      </c>
      <c r="AZ36" s="89" t="str">
        <f t="shared" si="20"/>
        <v/>
      </c>
      <c r="BA36" s="91" t="str">
        <f t="shared" si="21"/>
        <v/>
      </c>
      <c r="BB36" s="89" t="str">
        <f t="shared" si="22"/>
        <v/>
      </c>
      <c r="BC36" s="89" t="str">
        <f t="shared" si="23"/>
        <v/>
      </c>
      <c r="BD36" s="89" t="str">
        <f t="shared" si="24"/>
        <v/>
      </c>
      <c r="BE36" s="92" t="str">
        <f t="shared" si="25"/>
        <v/>
      </c>
      <c r="BF36" s="54">
        <f t="shared" si="45"/>
        <v>0</v>
      </c>
      <c r="BG36" s="54">
        <f t="shared" si="46"/>
        <v>0</v>
      </c>
      <c r="BH36" s="93">
        <f t="shared" ref="BH36:BH42" si="67">IF(BJ35=10,0,IF(BK35=10,0,IF(Z36=3,1,0)))</f>
        <v>0</v>
      </c>
      <c r="BI36" s="93">
        <f t="shared" ref="BI36:BI42" si="68">IF(BJ35=10,0,IF(BK35=10,0,IF(AA36=3,1,0)))</f>
        <v>0</v>
      </c>
      <c r="BJ36" s="39">
        <f t="shared" si="59"/>
        <v>0</v>
      </c>
      <c r="BK36" s="39">
        <f t="shared" si="60"/>
        <v>0</v>
      </c>
      <c r="BL36" s="39">
        <f t="shared" si="47"/>
        <v>0</v>
      </c>
      <c r="BM36" s="39">
        <f t="shared" si="48"/>
        <v>0</v>
      </c>
      <c r="BN36" s="39" t="str">
        <f t="shared" si="61"/>
        <v/>
      </c>
      <c r="BO36" s="39" t="str">
        <f t="shared" si="62"/>
        <v/>
      </c>
      <c r="BP36" s="43">
        <f t="shared" si="51"/>
        <v>0</v>
      </c>
      <c r="BQ36" s="43">
        <f t="shared" si="52"/>
        <v>0</v>
      </c>
      <c r="BR36" s="44" t="str">
        <f t="shared" si="57"/>
        <v/>
      </c>
      <c r="BS36" s="45">
        <f>IF(BS33="s","s",E36)</f>
        <v>0</v>
      </c>
      <c r="BT36" s="46"/>
      <c r="BU36" s="46"/>
      <c r="BV36" s="46"/>
      <c r="BW36" s="46"/>
      <c r="BX36" s="47"/>
      <c r="BY36" s="47"/>
      <c r="BZ36" s="47"/>
      <c r="CA36" s="47"/>
      <c r="CB36" s="48"/>
      <c r="CC36" s="48"/>
      <c r="CD36" s="48"/>
      <c r="CE36" s="48"/>
      <c r="CF36" s="48"/>
      <c r="CG36" s="48"/>
      <c r="CH36" s="49"/>
      <c r="CI36" s="49"/>
      <c r="CJ36" s="49"/>
      <c r="CK36" s="49"/>
      <c r="CL36" s="50"/>
      <c r="CM36" s="50"/>
      <c r="CN36" s="50"/>
      <c r="CO36" s="50"/>
      <c r="CP36" s="51"/>
      <c r="CQ36" s="51"/>
      <c r="CR36" s="52"/>
      <c r="CS36" s="52"/>
      <c r="CT36" s="52"/>
      <c r="CU36" s="52"/>
      <c r="CV36" s="53">
        <f>IF(CV32="s","s",L36)</f>
        <v>0</v>
      </c>
      <c r="CW36" s="45" t="str">
        <f t="shared" si="58"/>
        <v/>
      </c>
      <c r="CX36" s="38"/>
      <c r="CZ36" s="45"/>
      <c r="DA36" s="54"/>
      <c r="DB36" s="54"/>
      <c r="DC36" s="54"/>
      <c r="DD36" s="54"/>
      <c r="DE36" s="54"/>
      <c r="DF36" s="54"/>
      <c r="DG36" s="54"/>
      <c r="DH36" s="54"/>
      <c r="DP36" s="415" t="e">
        <f>HLOOKUP(G10,DR21:EE39,16,FALSE)</f>
        <v>#N/A</v>
      </c>
      <c r="DQ36" s="415" t="e">
        <f>HLOOKUP(G12,DR21:EE39,16,FALSE)</f>
        <v>#N/A</v>
      </c>
      <c r="DR36" s="416" t="e">
        <f>HLOOKUP(DR21,Soupisky!A2:'Soupisky'!BD20,16,FALSE)</f>
        <v>#N/A</v>
      </c>
      <c r="DS36" s="416" t="e">
        <f>HLOOKUP(DS21,Soupisky!B2:'Soupisky'!BE20,16,FALSE)</f>
        <v>#N/A</v>
      </c>
      <c r="DT36" s="416" t="e">
        <f>HLOOKUP(DT21,Soupisky!C2:'Soupisky'!BF20,16,FALSE)</f>
        <v>#N/A</v>
      </c>
      <c r="DU36" s="416" t="e">
        <f>HLOOKUP(DU21,Soupisky!D2:'Soupisky'!BG20,16,FALSE)</f>
        <v>#N/A</v>
      </c>
      <c r="DV36" s="416" t="e">
        <f>HLOOKUP(DV21,Soupisky!E2:'Soupisky'!BH20,16,FALSE)</f>
        <v>#N/A</v>
      </c>
      <c r="DW36" s="416" t="e">
        <f>HLOOKUP(DW21,Soupisky!F2:'Soupisky'!BI20,16,FALSE)</f>
        <v>#N/A</v>
      </c>
      <c r="DX36" s="416" t="e">
        <f>HLOOKUP(DX21,Soupisky!G2:'Soupisky'!BJ20,16,FALSE)</f>
        <v>#N/A</v>
      </c>
      <c r="DY36" s="416" t="e">
        <f>HLOOKUP(DY21,Soupisky!H2:'Soupisky'!BK20,16,FALSE)</f>
        <v>#N/A</v>
      </c>
      <c r="DZ36" s="416" t="e">
        <f>HLOOKUP(DZ21,Soupisky!I2:'Soupisky'!BL20,16,FALSE)</f>
        <v>#N/A</v>
      </c>
      <c r="EA36" s="416" t="e">
        <f>HLOOKUP(EA21,Soupisky!J2:'Soupisky'!BM20,16,FALSE)</f>
        <v>#N/A</v>
      </c>
      <c r="EB36" s="416" t="e">
        <f>HLOOKUP(EB21,Soupisky!K2:'Soupisky'!BN20,16,FALSE)</f>
        <v>#N/A</v>
      </c>
      <c r="EC36" s="416" t="e">
        <f>HLOOKUP(EC21,Soupisky!L2:'Soupisky'!BO20,16,FALSE)</f>
        <v>#N/A</v>
      </c>
      <c r="ED36" s="416" t="e">
        <f>HLOOKUP(ED21,Soupisky!M2:'Soupisky'!BP20,16,FALSE)</f>
        <v>#N/A</v>
      </c>
      <c r="EE36" s="417" t="e">
        <f>HLOOKUP(EE21,Soupisky!#REF!:'Soupisky'!BQ20,16,FALSE)</f>
        <v>#REF!</v>
      </c>
    </row>
    <row r="37" spans="1:135" s="39" customFormat="1" ht="18.75" customHeight="1" thickBot="1" x14ac:dyDescent="0.25">
      <c r="A37" s="39" t="str">
        <f>IF(B37="N","N",IF(OR(B23="A",B26="A",B27="A",B28="A",B29="A",B30="A",B31="A",B32="A",B33="A",B34="A",B35="A",B36="A"),"A1","A"))</f>
        <v>N</v>
      </c>
      <c r="B37" s="45" t="str">
        <f>IF(C37="1","N",IF((C23+C26+C27+C28+C29+C30+C31+C32+C33+C34+C35+C36&gt;10),"a","n"))</f>
        <v>n</v>
      </c>
      <c r="C37" s="54" t="str">
        <f t="shared" si="0"/>
        <v>0</v>
      </c>
      <c r="D37" s="117" t="s">
        <v>12</v>
      </c>
      <c r="E37" s="144"/>
      <c r="F37" s="564" t="str">
        <f>IF(F34="","",IF(E37="s",IF(F2="",F54,F2),F34))</f>
        <v/>
      </c>
      <c r="G37" s="565"/>
      <c r="H37" s="565"/>
      <c r="I37" s="565"/>
      <c r="J37" s="565"/>
      <c r="K37" s="567"/>
      <c r="L37" s="144"/>
      <c r="M37" s="564" t="str">
        <f>IF(M33="","",IF(L37="s",IF(M2="",M54,M2),M33))</f>
        <v/>
      </c>
      <c r="N37" s="565"/>
      <c r="O37" s="565"/>
      <c r="P37" s="565"/>
      <c r="Q37" s="565"/>
      <c r="R37" s="565"/>
      <c r="S37" s="565"/>
      <c r="T37" s="566"/>
      <c r="U37" s="146"/>
      <c r="V37" s="147"/>
      <c r="W37" s="147"/>
      <c r="X37" s="147"/>
      <c r="Y37" s="148"/>
      <c r="Z37" s="429" t="str">
        <f t="shared" si="28"/>
        <v/>
      </c>
      <c r="AA37" s="428" t="str">
        <f t="shared" si="29"/>
        <v/>
      </c>
      <c r="AB37" s="108" t="str">
        <f t="shared" si="54"/>
        <v/>
      </c>
      <c r="AC37" s="109" t="str">
        <f t="shared" si="55"/>
        <v/>
      </c>
      <c r="AD37" s="86"/>
      <c r="AE37" s="87" t="str">
        <f t="shared" si="30"/>
        <v/>
      </c>
      <c r="AF37" s="87" t="str">
        <f t="shared" si="31"/>
        <v/>
      </c>
      <c r="AG37" s="87" t="str">
        <f t="shared" si="32"/>
        <v/>
      </c>
      <c r="AH37" s="87" t="str">
        <f t="shared" si="33"/>
        <v/>
      </c>
      <c r="AI37" s="87" t="str">
        <f t="shared" si="34"/>
        <v/>
      </c>
      <c r="AJ37" s="88">
        <f t="shared" si="14"/>
        <v>0</v>
      </c>
      <c r="AK37" s="89" t="str">
        <f t="shared" si="35"/>
        <v/>
      </c>
      <c r="AL37" s="89" t="str">
        <f t="shared" si="36"/>
        <v/>
      </c>
      <c r="AM37" s="89" t="str">
        <f t="shared" si="37"/>
        <v/>
      </c>
      <c r="AN37" s="89" t="str">
        <f t="shared" si="63"/>
        <v/>
      </c>
      <c r="AO37" s="89" t="str">
        <f t="shared" si="64"/>
        <v/>
      </c>
      <c r="AP37" s="90">
        <f t="shared" si="15"/>
        <v>0</v>
      </c>
      <c r="AQ37" s="89" t="str">
        <f t="shared" si="40"/>
        <v/>
      </c>
      <c r="AR37" s="89" t="str">
        <f t="shared" si="41"/>
        <v/>
      </c>
      <c r="AS37" s="89" t="str">
        <f t="shared" si="42"/>
        <v/>
      </c>
      <c r="AT37" s="89" t="str">
        <f t="shared" si="65"/>
        <v/>
      </c>
      <c r="AU37" s="89" t="str">
        <f t="shared" si="66"/>
        <v/>
      </c>
      <c r="AV37" s="91" t="str">
        <f t="shared" si="16"/>
        <v/>
      </c>
      <c r="AW37" s="89" t="str">
        <f t="shared" si="17"/>
        <v/>
      </c>
      <c r="AX37" s="89" t="str">
        <f t="shared" si="18"/>
        <v/>
      </c>
      <c r="AY37" s="89" t="str">
        <f t="shared" si="19"/>
        <v/>
      </c>
      <c r="AZ37" s="89" t="str">
        <f t="shared" si="20"/>
        <v/>
      </c>
      <c r="BA37" s="91" t="str">
        <f t="shared" si="21"/>
        <v/>
      </c>
      <c r="BB37" s="89" t="str">
        <f t="shared" si="22"/>
        <v/>
      </c>
      <c r="BC37" s="89" t="str">
        <f t="shared" si="23"/>
        <v/>
      </c>
      <c r="BD37" s="89" t="str">
        <f t="shared" si="24"/>
        <v/>
      </c>
      <c r="BE37" s="92" t="str">
        <f t="shared" si="25"/>
        <v/>
      </c>
      <c r="BF37" s="54">
        <f t="shared" si="45"/>
        <v>0</v>
      </c>
      <c r="BG37" s="54">
        <f t="shared" si="46"/>
        <v>0</v>
      </c>
      <c r="BH37" s="93">
        <f t="shared" si="67"/>
        <v>0</v>
      </c>
      <c r="BI37" s="93">
        <f t="shared" si="68"/>
        <v>0</v>
      </c>
      <c r="BJ37" s="39">
        <f t="shared" si="59"/>
        <v>0</v>
      </c>
      <c r="BK37" s="39">
        <f t="shared" si="60"/>
        <v>0</v>
      </c>
      <c r="BL37" s="39">
        <f t="shared" si="47"/>
        <v>0</v>
      </c>
      <c r="BM37" s="39">
        <f t="shared" si="48"/>
        <v>0</v>
      </c>
      <c r="BN37" s="39" t="str">
        <f t="shared" si="61"/>
        <v/>
      </c>
      <c r="BO37" s="39" t="str">
        <f t="shared" si="62"/>
        <v/>
      </c>
      <c r="BP37" s="43">
        <f t="shared" si="51"/>
        <v>0</v>
      </c>
      <c r="BQ37" s="43">
        <f t="shared" si="52"/>
        <v>0</v>
      </c>
      <c r="BR37" s="44" t="str">
        <f t="shared" si="57"/>
        <v/>
      </c>
      <c r="BS37" s="45">
        <f>IF(BS34="s","s",E37)</f>
        <v>0</v>
      </c>
      <c r="BT37" s="46"/>
      <c r="BU37" s="46"/>
      <c r="BV37" s="46"/>
      <c r="BW37" s="46"/>
      <c r="BX37" s="47"/>
      <c r="BY37" s="47"/>
      <c r="BZ37" s="47"/>
      <c r="CA37" s="47"/>
      <c r="CB37" s="133">
        <f t="shared" ref="CB37:CG37" si="69">SUM(CB23:CB35)</f>
        <v>0</v>
      </c>
      <c r="CC37" s="134">
        <f t="shared" si="69"/>
        <v>0</v>
      </c>
      <c r="CD37" s="133">
        <f t="shared" si="69"/>
        <v>0</v>
      </c>
      <c r="CE37" s="135">
        <f t="shared" si="69"/>
        <v>0</v>
      </c>
      <c r="CF37" s="134">
        <f t="shared" si="69"/>
        <v>0</v>
      </c>
      <c r="CG37" s="135">
        <f t="shared" si="69"/>
        <v>0</v>
      </c>
      <c r="CH37" s="49"/>
      <c r="CI37" s="49"/>
      <c r="CJ37" s="49"/>
      <c r="CK37" s="49"/>
      <c r="CL37" s="50"/>
      <c r="CM37" s="50"/>
      <c r="CN37" s="50"/>
      <c r="CO37" s="50"/>
      <c r="CP37" s="136">
        <f t="shared" ref="CP37:CU37" si="70">SUM(CP23:CP35)</f>
        <v>0</v>
      </c>
      <c r="CQ37" s="137">
        <f t="shared" si="70"/>
        <v>0</v>
      </c>
      <c r="CR37" s="138">
        <f t="shared" si="70"/>
        <v>0</v>
      </c>
      <c r="CS37" s="139">
        <f t="shared" si="70"/>
        <v>0</v>
      </c>
      <c r="CT37" s="140">
        <f t="shared" si="70"/>
        <v>0</v>
      </c>
      <c r="CU37" s="139">
        <f t="shared" si="70"/>
        <v>0</v>
      </c>
      <c r="CV37" s="53">
        <f t="shared" ref="CV37:CV42" si="71">IF(CV33="s","s",L37)</f>
        <v>0</v>
      </c>
      <c r="CW37" s="45" t="str">
        <f t="shared" si="58"/>
        <v/>
      </c>
      <c r="CX37" s="38"/>
      <c r="CZ37" s="45"/>
      <c r="DA37" s="54"/>
      <c r="DB37" s="54"/>
      <c r="DC37" s="54"/>
      <c r="DD37" s="54"/>
      <c r="DE37" s="54"/>
      <c r="DF37" s="54"/>
      <c r="DG37" s="54"/>
      <c r="DH37" s="54"/>
      <c r="DP37" s="415" t="e">
        <f>HLOOKUP(G10,DR21:EE39,17,FALSE)</f>
        <v>#N/A</v>
      </c>
      <c r="DQ37" s="415" t="e">
        <f>HLOOKUP(G12,DR21:EE39,17,FALSE)</f>
        <v>#N/A</v>
      </c>
      <c r="DR37" s="416" t="e">
        <f>HLOOKUP(DR21,Soupisky!A2:'Soupisky'!BD20,17,FALSE)</f>
        <v>#N/A</v>
      </c>
      <c r="DS37" s="416" t="e">
        <f>HLOOKUP(DS21,Soupisky!B2:'Soupisky'!BE20,17,FALSE)</f>
        <v>#N/A</v>
      </c>
      <c r="DT37" s="416" t="e">
        <f>HLOOKUP(DT21,Soupisky!C2:'Soupisky'!BF20,17,FALSE)</f>
        <v>#N/A</v>
      </c>
      <c r="DU37" s="416" t="e">
        <f>HLOOKUP(DU21,Soupisky!D2:'Soupisky'!BG20,17,FALSE)</f>
        <v>#N/A</v>
      </c>
      <c r="DV37" s="416" t="e">
        <f>HLOOKUP(DV21,Soupisky!E2:'Soupisky'!BH20,17,FALSE)</f>
        <v>#N/A</v>
      </c>
      <c r="DW37" s="416" t="e">
        <f>HLOOKUP(DW21,Soupisky!F2:'Soupisky'!BI20,17,FALSE)</f>
        <v>#N/A</v>
      </c>
      <c r="DX37" s="416" t="e">
        <f>HLOOKUP(DX21,Soupisky!G2:'Soupisky'!BJ20,17,FALSE)</f>
        <v>#N/A</v>
      </c>
      <c r="DY37" s="416" t="e">
        <f>HLOOKUP(DY21,Soupisky!H2:'Soupisky'!BK20,17,FALSE)</f>
        <v>#N/A</v>
      </c>
      <c r="DZ37" s="416" t="e">
        <f>HLOOKUP(DZ21,Soupisky!I2:'Soupisky'!BL20,17,FALSE)</f>
        <v>#N/A</v>
      </c>
      <c r="EA37" s="416" t="e">
        <f>HLOOKUP(EA21,Soupisky!J2:'Soupisky'!BM20,17,FALSE)</f>
        <v>#N/A</v>
      </c>
      <c r="EB37" s="416" t="e">
        <f>HLOOKUP(EB21,Soupisky!K2:'Soupisky'!BN20,17,FALSE)</f>
        <v>#N/A</v>
      </c>
      <c r="EC37" s="416" t="e">
        <f>HLOOKUP(EC21,Soupisky!L2:'Soupisky'!BO20,17,FALSE)</f>
        <v>#N/A</v>
      </c>
      <c r="ED37" s="416" t="e">
        <f>HLOOKUP(ED21,Soupisky!M2:'Soupisky'!BP20,17,FALSE)</f>
        <v>#N/A</v>
      </c>
      <c r="EE37" s="417" t="e">
        <f>HLOOKUP(EE21,Soupisky!#REF!:'Soupisky'!BQ20,17,FALSE)</f>
        <v>#REF!</v>
      </c>
    </row>
    <row r="38" spans="1:135" s="39" customFormat="1" ht="18.75" customHeight="1" x14ac:dyDescent="0.2">
      <c r="A38" s="39" t="str">
        <f>IF(B38="N","N",IF(OR(B23="A",B26="A",B27="A",B28="A",B29="A",B30="A",B31="A",B32="A",B33="A",B34="A",B35="A",B36="A",B37="A"),"A1","A"))</f>
        <v>N</v>
      </c>
      <c r="B38" s="45" t="str">
        <f>IF(C38="1","N",IF((C23+C26+C27+C28+C29+C30+C31+C32+C33+C34+C35+C36+C37&gt;11),"a","n"))</f>
        <v>n</v>
      </c>
      <c r="C38" s="54" t="str">
        <f t="shared" si="0"/>
        <v>0</v>
      </c>
      <c r="D38" s="117" t="s">
        <v>13</v>
      </c>
      <c r="E38" s="144"/>
      <c r="F38" s="564" t="str">
        <f>IF(F31="","",IF(E38="s",IF(F2="",F54,F2),F31))</f>
        <v/>
      </c>
      <c r="G38" s="565"/>
      <c r="H38" s="565"/>
      <c r="I38" s="565"/>
      <c r="J38" s="565"/>
      <c r="K38" s="567"/>
      <c r="L38" s="144"/>
      <c r="M38" s="564" t="str">
        <f>IF(M34="","",IF(L38="s",IF(M2="",M54,M2),M34))</f>
        <v/>
      </c>
      <c r="N38" s="565"/>
      <c r="O38" s="565"/>
      <c r="P38" s="565"/>
      <c r="Q38" s="565"/>
      <c r="R38" s="565"/>
      <c r="S38" s="565"/>
      <c r="T38" s="566"/>
      <c r="U38" s="146"/>
      <c r="V38" s="147"/>
      <c r="W38" s="147"/>
      <c r="X38" s="147"/>
      <c r="Y38" s="148"/>
      <c r="Z38" s="429" t="str">
        <f t="shared" si="28"/>
        <v/>
      </c>
      <c r="AA38" s="428" t="str">
        <f t="shared" si="29"/>
        <v/>
      </c>
      <c r="AB38" s="108" t="str">
        <f t="shared" si="54"/>
        <v/>
      </c>
      <c r="AC38" s="109" t="str">
        <f t="shared" si="55"/>
        <v/>
      </c>
      <c r="AD38" s="86"/>
      <c r="AE38" s="87" t="str">
        <f t="shared" si="30"/>
        <v/>
      </c>
      <c r="AF38" s="87" t="str">
        <f t="shared" si="31"/>
        <v/>
      </c>
      <c r="AG38" s="87" t="str">
        <f t="shared" si="32"/>
        <v/>
      </c>
      <c r="AH38" s="87" t="str">
        <f t="shared" si="33"/>
        <v/>
      </c>
      <c r="AI38" s="87" t="str">
        <f t="shared" si="34"/>
        <v/>
      </c>
      <c r="AJ38" s="88">
        <f t="shared" si="14"/>
        <v>0</v>
      </c>
      <c r="AK38" s="89" t="str">
        <f t="shared" si="35"/>
        <v/>
      </c>
      <c r="AL38" s="89" t="str">
        <f t="shared" si="36"/>
        <v/>
      </c>
      <c r="AM38" s="89" t="str">
        <f t="shared" si="37"/>
        <v/>
      </c>
      <c r="AN38" s="89" t="str">
        <f t="shared" si="63"/>
        <v/>
      </c>
      <c r="AO38" s="89" t="str">
        <f t="shared" si="64"/>
        <v/>
      </c>
      <c r="AP38" s="90">
        <f t="shared" si="15"/>
        <v>0</v>
      </c>
      <c r="AQ38" s="89" t="str">
        <f t="shared" si="40"/>
        <v/>
      </c>
      <c r="AR38" s="89" t="str">
        <f t="shared" si="41"/>
        <v/>
      </c>
      <c r="AS38" s="89" t="str">
        <f t="shared" si="42"/>
        <v/>
      </c>
      <c r="AT38" s="89" t="str">
        <f t="shared" si="65"/>
        <v/>
      </c>
      <c r="AU38" s="89" t="str">
        <f t="shared" si="66"/>
        <v/>
      </c>
      <c r="AV38" s="91" t="str">
        <f t="shared" si="16"/>
        <v/>
      </c>
      <c r="AW38" s="89" t="str">
        <f t="shared" si="17"/>
        <v/>
      </c>
      <c r="AX38" s="89" t="str">
        <f t="shared" si="18"/>
        <v/>
      </c>
      <c r="AY38" s="89" t="str">
        <f t="shared" si="19"/>
        <v/>
      </c>
      <c r="AZ38" s="89" t="str">
        <f t="shared" si="20"/>
        <v/>
      </c>
      <c r="BA38" s="91" t="str">
        <f t="shared" si="21"/>
        <v/>
      </c>
      <c r="BB38" s="89" t="str">
        <f t="shared" si="22"/>
        <v/>
      </c>
      <c r="BC38" s="89" t="str">
        <f t="shared" si="23"/>
        <v/>
      </c>
      <c r="BD38" s="89" t="str">
        <f t="shared" si="24"/>
        <v/>
      </c>
      <c r="BE38" s="92" t="str">
        <f t="shared" si="25"/>
        <v/>
      </c>
      <c r="BF38" s="54">
        <f t="shared" si="45"/>
        <v>0</v>
      </c>
      <c r="BG38" s="54">
        <f t="shared" si="46"/>
        <v>0</v>
      </c>
      <c r="BH38" s="93">
        <f t="shared" si="67"/>
        <v>0</v>
      </c>
      <c r="BI38" s="93">
        <f t="shared" si="68"/>
        <v>0</v>
      </c>
      <c r="BJ38" s="39">
        <f t="shared" si="59"/>
        <v>0</v>
      </c>
      <c r="BK38" s="39">
        <f t="shared" si="60"/>
        <v>0</v>
      </c>
      <c r="BL38" s="39">
        <f t="shared" si="47"/>
        <v>0</v>
      </c>
      <c r="BM38" s="39">
        <f t="shared" si="48"/>
        <v>0</v>
      </c>
      <c r="BN38" s="39" t="str">
        <f t="shared" si="61"/>
        <v/>
      </c>
      <c r="BO38" s="39" t="str">
        <f t="shared" si="62"/>
        <v/>
      </c>
      <c r="BP38" s="43">
        <f t="shared" si="51"/>
        <v>0</v>
      </c>
      <c r="BQ38" s="43">
        <f t="shared" si="52"/>
        <v>0</v>
      </c>
      <c r="BR38" s="44" t="str">
        <f>F38</f>
        <v/>
      </c>
      <c r="BS38" s="45">
        <f>IF(BS31="s","s",E38)</f>
        <v>0</v>
      </c>
      <c r="BT38" s="46"/>
      <c r="BU38" s="46"/>
      <c r="BV38" s="46"/>
      <c r="BW38" s="46"/>
      <c r="BX38" s="47"/>
      <c r="BY38" s="47"/>
      <c r="BZ38" s="47"/>
      <c r="CA38" s="47"/>
      <c r="CB38" s="48"/>
      <c r="CC38" s="48"/>
      <c r="CD38" s="48"/>
      <c r="CE38" s="48"/>
      <c r="CF38" s="48"/>
      <c r="CG38" s="48"/>
      <c r="CH38" s="49"/>
      <c r="CI38" s="49"/>
      <c r="CJ38" s="49"/>
      <c r="CK38" s="49"/>
      <c r="CL38" s="50"/>
      <c r="CM38" s="50"/>
      <c r="CN38" s="50"/>
      <c r="CO38" s="50"/>
      <c r="CP38" s="51"/>
      <c r="CQ38" s="51"/>
      <c r="CR38" s="52"/>
      <c r="CS38" s="52"/>
      <c r="CT38" s="52"/>
      <c r="CU38" s="52"/>
      <c r="CV38" s="53">
        <f t="shared" si="71"/>
        <v>0</v>
      </c>
      <c r="CW38" s="45" t="str">
        <f t="shared" si="58"/>
        <v/>
      </c>
      <c r="CX38" s="38"/>
      <c r="CZ38" s="45"/>
      <c r="DA38" s="54"/>
      <c r="DB38" s="54"/>
      <c r="DC38" s="54"/>
      <c r="DD38" s="54"/>
      <c r="DE38" s="54"/>
      <c r="DF38" s="54"/>
      <c r="DG38" s="54"/>
      <c r="DH38" s="54"/>
      <c r="DP38" s="415" t="e">
        <f>HLOOKUP(G10,DR21:EE39,18,FALSE)</f>
        <v>#N/A</v>
      </c>
      <c r="DQ38" s="415" t="e">
        <f>HLOOKUP(G12,DR21:EE39,18,FALSE)</f>
        <v>#N/A</v>
      </c>
      <c r="DR38" s="416" t="e">
        <f>HLOOKUP(DR21,Soupisky!A2:'Soupisky'!BD20,18,FALSE)</f>
        <v>#N/A</v>
      </c>
      <c r="DS38" s="416" t="e">
        <f>HLOOKUP(DS21,Soupisky!B2:'Soupisky'!BE20,18,FALSE)</f>
        <v>#N/A</v>
      </c>
      <c r="DT38" s="416" t="e">
        <f>HLOOKUP(DT21,Soupisky!C2:'Soupisky'!BF20,18,FALSE)</f>
        <v>#N/A</v>
      </c>
      <c r="DU38" s="416" t="e">
        <f>HLOOKUP(DU21,Soupisky!D2:'Soupisky'!BG20,18,FALSE)</f>
        <v>#N/A</v>
      </c>
      <c r="DV38" s="416" t="e">
        <f>HLOOKUP(DV21,Soupisky!E2:'Soupisky'!BH20,18,FALSE)</f>
        <v>#N/A</v>
      </c>
      <c r="DW38" s="416" t="e">
        <f>HLOOKUP(DW21,Soupisky!F2:'Soupisky'!BI20,18,FALSE)</f>
        <v>#N/A</v>
      </c>
      <c r="DX38" s="416" t="e">
        <f>HLOOKUP(DX21,Soupisky!G2:'Soupisky'!BJ20,18,FALSE)</f>
        <v>#N/A</v>
      </c>
      <c r="DY38" s="416" t="e">
        <f>HLOOKUP(DY21,Soupisky!H2:'Soupisky'!BK20,18,FALSE)</f>
        <v>#N/A</v>
      </c>
      <c r="DZ38" s="416" t="e">
        <f>HLOOKUP(DZ21,Soupisky!I2:'Soupisky'!BL20,18,FALSE)</f>
        <v>#N/A</v>
      </c>
      <c r="EA38" s="416" t="e">
        <f>HLOOKUP(EA21,Soupisky!J2:'Soupisky'!BM20,18,FALSE)</f>
        <v>#N/A</v>
      </c>
      <c r="EB38" s="416" t="e">
        <f>HLOOKUP(EB21,Soupisky!K2:'Soupisky'!BN20,18,FALSE)</f>
        <v>#N/A</v>
      </c>
      <c r="EC38" s="416" t="e">
        <f>HLOOKUP(EC21,Soupisky!L2:'Soupisky'!BO20,18,FALSE)</f>
        <v>#N/A</v>
      </c>
      <c r="ED38" s="416" t="e">
        <f>HLOOKUP(ED21,Soupisky!M2:'Soupisky'!BP20,18,FALSE)</f>
        <v>#N/A</v>
      </c>
      <c r="EE38" s="417" t="e">
        <f>HLOOKUP(EE21,Soupisky!#REF!:'Soupisky'!BQ20,18,FALSE)</f>
        <v>#REF!</v>
      </c>
    </row>
    <row r="39" spans="1:135" s="39" customFormat="1" ht="18.75" customHeight="1" thickBot="1" x14ac:dyDescent="0.25">
      <c r="A39" s="39" t="str">
        <f>IF(B39="N","N",IF(OR(B23="A",B26="A",B27="A",B28="A",B29="A",B30="A",B31="A",B32="A",B33="A",B34="A",B35="A",B36="A",B37="A",B38="A"),"A1","A"))</f>
        <v>N</v>
      </c>
      <c r="B39" s="45" t="str">
        <f>IF(C39="1","N",IF((C23+C26+C27+C28+C29+C30+C31+C32+C33+C34+C35+C36+C37+C38&gt;12),"a","n"))</f>
        <v>n</v>
      </c>
      <c r="C39" s="54" t="str">
        <f t="shared" si="0"/>
        <v>0</v>
      </c>
      <c r="D39" s="117" t="s">
        <v>14</v>
      </c>
      <c r="E39" s="144"/>
      <c r="F39" s="564" t="str">
        <f>IF(F36="","",IF(E39="s",IF(F2="",F54,F2),F36))</f>
        <v/>
      </c>
      <c r="G39" s="565"/>
      <c r="H39" s="565"/>
      <c r="I39" s="565"/>
      <c r="J39" s="565"/>
      <c r="K39" s="567"/>
      <c r="L39" s="144"/>
      <c r="M39" s="564" t="str">
        <f>IF(M35="","",IF(L39="s",IF(M2="",M54,M2),M35))</f>
        <v/>
      </c>
      <c r="N39" s="565"/>
      <c r="O39" s="565"/>
      <c r="P39" s="565"/>
      <c r="Q39" s="565"/>
      <c r="R39" s="565"/>
      <c r="S39" s="565"/>
      <c r="T39" s="566"/>
      <c r="U39" s="146"/>
      <c r="V39" s="147"/>
      <c r="W39" s="147"/>
      <c r="X39" s="147"/>
      <c r="Y39" s="148"/>
      <c r="Z39" s="429" t="str">
        <f t="shared" si="28"/>
        <v/>
      </c>
      <c r="AA39" s="428" t="str">
        <f t="shared" si="29"/>
        <v/>
      </c>
      <c r="AB39" s="108" t="str">
        <f t="shared" si="54"/>
        <v/>
      </c>
      <c r="AC39" s="109" t="str">
        <f t="shared" si="55"/>
        <v/>
      </c>
      <c r="AD39" s="86"/>
      <c r="AE39" s="87" t="str">
        <f t="shared" si="30"/>
        <v/>
      </c>
      <c r="AF39" s="87" t="str">
        <f t="shared" si="31"/>
        <v/>
      </c>
      <c r="AG39" s="87" t="str">
        <f t="shared" si="32"/>
        <v/>
      </c>
      <c r="AH39" s="87" t="str">
        <f t="shared" si="33"/>
        <v/>
      </c>
      <c r="AI39" s="87" t="str">
        <f t="shared" si="34"/>
        <v/>
      </c>
      <c r="AJ39" s="88">
        <f t="shared" si="14"/>
        <v>0</v>
      </c>
      <c r="AK39" s="89" t="str">
        <f t="shared" si="35"/>
        <v/>
      </c>
      <c r="AL39" s="89" t="str">
        <f t="shared" si="36"/>
        <v/>
      </c>
      <c r="AM39" s="89" t="str">
        <f t="shared" si="37"/>
        <v/>
      </c>
      <c r="AN39" s="89" t="str">
        <f t="shared" si="63"/>
        <v/>
      </c>
      <c r="AO39" s="89" t="str">
        <f t="shared" si="64"/>
        <v/>
      </c>
      <c r="AP39" s="90">
        <f t="shared" si="15"/>
        <v>0</v>
      </c>
      <c r="AQ39" s="89" t="str">
        <f t="shared" si="40"/>
        <v/>
      </c>
      <c r="AR39" s="89" t="str">
        <f t="shared" si="41"/>
        <v/>
      </c>
      <c r="AS39" s="89" t="str">
        <f t="shared" si="42"/>
        <v/>
      </c>
      <c r="AT39" s="89" t="str">
        <f t="shared" si="65"/>
        <v/>
      </c>
      <c r="AU39" s="89" t="str">
        <f t="shared" si="66"/>
        <v/>
      </c>
      <c r="AV39" s="91" t="str">
        <f t="shared" si="16"/>
        <v/>
      </c>
      <c r="AW39" s="89" t="str">
        <f t="shared" si="17"/>
        <v/>
      </c>
      <c r="AX39" s="89" t="str">
        <f t="shared" si="18"/>
        <v/>
      </c>
      <c r="AY39" s="89" t="str">
        <f t="shared" si="19"/>
        <v/>
      </c>
      <c r="AZ39" s="89" t="str">
        <f t="shared" si="20"/>
        <v/>
      </c>
      <c r="BA39" s="91" t="str">
        <f t="shared" si="21"/>
        <v/>
      </c>
      <c r="BB39" s="89" t="str">
        <f t="shared" si="22"/>
        <v/>
      </c>
      <c r="BC39" s="89" t="str">
        <f t="shared" si="23"/>
        <v/>
      </c>
      <c r="BD39" s="89" t="str">
        <f t="shared" si="24"/>
        <v/>
      </c>
      <c r="BE39" s="92" t="str">
        <f t="shared" si="25"/>
        <v/>
      </c>
      <c r="BF39" s="54">
        <f t="shared" si="45"/>
        <v>0</v>
      </c>
      <c r="BG39" s="54">
        <f t="shared" si="46"/>
        <v>0</v>
      </c>
      <c r="BH39" s="93">
        <f t="shared" si="67"/>
        <v>0</v>
      </c>
      <c r="BI39" s="93">
        <f t="shared" si="68"/>
        <v>0</v>
      </c>
      <c r="BJ39" s="39">
        <f t="shared" si="59"/>
        <v>0</v>
      </c>
      <c r="BK39" s="39">
        <f t="shared" si="60"/>
        <v>0</v>
      </c>
      <c r="BL39" s="39">
        <f t="shared" si="47"/>
        <v>0</v>
      </c>
      <c r="BM39" s="39">
        <f t="shared" si="48"/>
        <v>0</v>
      </c>
      <c r="BN39" s="39" t="str">
        <f t="shared" si="61"/>
        <v/>
      </c>
      <c r="BO39" s="39" t="str">
        <f t="shared" si="62"/>
        <v/>
      </c>
      <c r="BP39" s="43">
        <f t="shared" si="51"/>
        <v>0</v>
      </c>
      <c r="BQ39" s="43">
        <f t="shared" si="52"/>
        <v>0</v>
      </c>
      <c r="BR39" s="44" t="str">
        <f>F39</f>
        <v/>
      </c>
      <c r="BS39" s="45">
        <f>IF(BS36="s","s",E39)</f>
        <v>0</v>
      </c>
      <c r="BT39" s="46"/>
      <c r="BU39" s="46"/>
      <c r="BV39" s="46"/>
      <c r="BW39" s="46"/>
      <c r="BX39" s="47"/>
      <c r="BY39" s="47"/>
      <c r="BZ39" s="47"/>
      <c r="CA39" s="47"/>
      <c r="CB39" s="48"/>
      <c r="CC39" s="48"/>
      <c r="CD39" s="48"/>
      <c r="CE39" s="48"/>
      <c r="CF39" s="48"/>
      <c r="CG39" s="48"/>
      <c r="CH39" s="49"/>
      <c r="CI39" s="49"/>
      <c r="CJ39" s="49"/>
      <c r="CK39" s="49"/>
      <c r="CL39" s="50"/>
      <c r="CM39" s="50"/>
      <c r="CN39" s="50"/>
      <c r="CO39" s="50"/>
      <c r="CP39" s="51"/>
      <c r="CQ39" s="51"/>
      <c r="CR39" s="52"/>
      <c r="CS39" s="52"/>
      <c r="CT39" s="52"/>
      <c r="CU39" s="52"/>
      <c r="CV39" s="53">
        <f t="shared" si="71"/>
        <v>0</v>
      </c>
      <c r="CW39" s="45" t="str">
        <f t="shared" si="58"/>
        <v/>
      </c>
      <c r="CX39" s="38"/>
      <c r="CZ39" s="45"/>
      <c r="DA39" s="54"/>
      <c r="DB39" s="54"/>
      <c r="DC39" s="54"/>
      <c r="DD39" s="54"/>
      <c r="DE39" s="54"/>
      <c r="DF39" s="54"/>
      <c r="DG39" s="54"/>
      <c r="DH39" s="54"/>
      <c r="DP39" s="418" t="e">
        <f>HLOOKUP(G10,DR21:EE39,19,FALSE)</f>
        <v>#N/A</v>
      </c>
      <c r="DQ39" s="418" t="e">
        <f>HLOOKUP(G12,DR21:EE39,19,FALSE)</f>
        <v>#N/A</v>
      </c>
      <c r="DR39" s="419" t="e">
        <f>HLOOKUP(DR21,Soupisky!A2:'Soupisky'!BD20,19,FALSE)</f>
        <v>#N/A</v>
      </c>
      <c r="DS39" s="419" t="e">
        <f>HLOOKUP(DS21,Soupisky!B2:'Soupisky'!BE20,19,FALSE)</f>
        <v>#N/A</v>
      </c>
      <c r="DT39" s="419" t="e">
        <f>HLOOKUP(DT21,Soupisky!C2:'Soupisky'!BF20,19,FALSE)</f>
        <v>#N/A</v>
      </c>
      <c r="DU39" s="419" t="e">
        <f>HLOOKUP(DU21,Soupisky!D2:'Soupisky'!BG20,19,FALSE)</f>
        <v>#N/A</v>
      </c>
      <c r="DV39" s="419" t="e">
        <f>HLOOKUP(DV21,Soupisky!E2:'Soupisky'!BH20,19,FALSE)</f>
        <v>#N/A</v>
      </c>
      <c r="DW39" s="419" t="e">
        <f>HLOOKUP(DW21,Soupisky!F2:'Soupisky'!BI20,19,FALSE)</f>
        <v>#N/A</v>
      </c>
      <c r="DX39" s="419" t="e">
        <f>HLOOKUP(DX21,Soupisky!G2:'Soupisky'!BJ20,19,FALSE)</f>
        <v>#N/A</v>
      </c>
      <c r="DY39" s="419" t="e">
        <f>HLOOKUP(DY21,Soupisky!H2:'Soupisky'!BK20,19,FALSE)</f>
        <v>#N/A</v>
      </c>
      <c r="DZ39" s="419" t="e">
        <f>HLOOKUP(DZ21,Soupisky!I2:'Soupisky'!BL20,19,FALSE)</f>
        <v>#N/A</v>
      </c>
      <c r="EA39" s="419" t="e">
        <f>HLOOKUP(EA21,Soupisky!J2:'Soupisky'!BM20,19,FALSE)</f>
        <v>#N/A</v>
      </c>
      <c r="EB39" s="419" t="e">
        <f>HLOOKUP(EB21,Soupisky!K2:'Soupisky'!BN20,19,FALSE)</f>
        <v>#N/A</v>
      </c>
      <c r="EC39" s="419" t="e">
        <f>HLOOKUP(EC21,Soupisky!L2:'Soupisky'!BO20,19,FALSE)</f>
        <v>#N/A</v>
      </c>
      <c r="ED39" s="419" t="e">
        <f>HLOOKUP(ED21,Soupisky!M2:'Soupisky'!BP20,19,FALSE)</f>
        <v>#N/A</v>
      </c>
      <c r="EE39" s="420" t="e">
        <f>HLOOKUP(EE21,Soupisky!#REF!:'Soupisky'!BQ20,19,FALSE)</f>
        <v>#REF!</v>
      </c>
    </row>
    <row r="40" spans="1:135" s="39" customFormat="1" ht="18.75" customHeight="1" x14ac:dyDescent="0.2">
      <c r="A40" s="39" t="str">
        <f>IF(B40="N","N",IF(OR(B23="A",B26="A",B27="A",B28="A",B29="A",B30="A",B31="A",B32="A",B33="A",B34="A",B35="A",B36="A",B37="A",B38="A",B39="A"),"A1","A"))</f>
        <v>N</v>
      </c>
      <c r="B40" s="45" t="str">
        <f>IF(C40="1","N",IF((C23+C26+C27+C28+C29+C30+C31+C32+C33+C34+C35+C36+C37+C38+C39&gt;13),"a","n"))</f>
        <v>n</v>
      </c>
      <c r="C40" s="54" t="str">
        <f t="shared" si="0"/>
        <v>0</v>
      </c>
      <c r="D40" s="117" t="s">
        <v>15</v>
      </c>
      <c r="E40" s="144"/>
      <c r="F40" s="564" t="str">
        <f>IF(F37="","",IF(E40="s",IF(F2="",F54,F2),F37))</f>
        <v/>
      </c>
      <c r="G40" s="565"/>
      <c r="H40" s="565"/>
      <c r="I40" s="565"/>
      <c r="J40" s="565"/>
      <c r="K40" s="567"/>
      <c r="L40" s="144"/>
      <c r="M40" s="564" t="str">
        <f>IF(M36="","",IF(L40="s",IF(M2="",M54,M2),M36))</f>
        <v/>
      </c>
      <c r="N40" s="565"/>
      <c r="O40" s="565"/>
      <c r="P40" s="565"/>
      <c r="Q40" s="565"/>
      <c r="R40" s="565"/>
      <c r="S40" s="565"/>
      <c r="T40" s="566"/>
      <c r="U40" s="146"/>
      <c r="V40" s="147"/>
      <c r="W40" s="147"/>
      <c r="X40" s="147"/>
      <c r="Y40" s="148"/>
      <c r="Z40" s="429" t="str">
        <f t="shared" si="28"/>
        <v/>
      </c>
      <c r="AA40" s="428" t="str">
        <f t="shared" si="29"/>
        <v/>
      </c>
      <c r="AB40" s="108" t="str">
        <f t="shared" si="54"/>
        <v/>
      </c>
      <c r="AC40" s="109" t="str">
        <f t="shared" si="55"/>
        <v/>
      </c>
      <c r="AD40" s="86"/>
      <c r="AE40" s="87" t="str">
        <f t="shared" si="30"/>
        <v/>
      </c>
      <c r="AF40" s="87" t="str">
        <f t="shared" si="31"/>
        <v/>
      </c>
      <c r="AG40" s="87" t="str">
        <f t="shared" si="32"/>
        <v/>
      </c>
      <c r="AH40" s="87" t="str">
        <f t="shared" si="33"/>
        <v/>
      </c>
      <c r="AI40" s="87" t="str">
        <f t="shared" si="34"/>
        <v/>
      </c>
      <c r="AJ40" s="88">
        <f t="shared" si="14"/>
        <v>0</v>
      </c>
      <c r="AK40" s="89" t="str">
        <f t="shared" si="35"/>
        <v/>
      </c>
      <c r="AL40" s="89" t="str">
        <f t="shared" si="36"/>
        <v/>
      </c>
      <c r="AM40" s="89" t="str">
        <f t="shared" si="37"/>
        <v/>
      </c>
      <c r="AN40" s="89" t="str">
        <f t="shared" si="63"/>
        <v/>
      </c>
      <c r="AO40" s="89" t="str">
        <f t="shared" si="64"/>
        <v/>
      </c>
      <c r="AP40" s="90">
        <f t="shared" si="15"/>
        <v>0</v>
      </c>
      <c r="AQ40" s="89" t="str">
        <f t="shared" si="40"/>
        <v/>
      </c>
      <c r="AR40" s="89" t="str">
        <f t="shared" si="41"/>
        <v/>
      </c>
      <c r="AS40" s="89" t="str">
        <f t="shared" si="42"/>
        <v/>
      </c>
      <c r="AT40" s="89" t="str">
        <f t="shared" si="65"/>
        <v/>
      </c>
      <c r="AU40" s="89" t="str">
        <f t="shared" si="66"/>
        <v/>
      </c>
      <c r="AV40" s="91" t="str">
        <f t="shared" si="16"/>
        <v/>
      </c>
      <c r="AW40" s="89" t="str">
        <f t="shared" si="17"/>
        <v/>
      </c>
      <c r="AX40" s="89" t="str">
        <f t="shared" si="18"/>
        <v/>
      </c>
      <c r="AY40" s="89" t="str">
        <f t="shared" si="19"/>
        <v/>
      </c>
      <c r="AZ40" s="89" t="str">
        <f t="shared" si="20"/>
        <v/>
      </c>
      <c r="BA40" s="91" t="str">
        <f t="shared" si="21"/>
        <v/>
      </c>
      <c r="BB40" s="89" t="str">
        <f t="shared" si="22"/>
        <v/>
      </c>
      <c r="BC40" s="89" t="str">
        <f t="shared" si="23"/>
        <v/>
      </c>
      <c r="BD40" s="89" t="str">
        <f t="shared" si="24"/>
        <v/>
      </c>
      <c r="BE40" s="92" t="str">
        <f t="shared" si="25"/>
        <v/>
      </c>
      <c r="BF40" s="54">
        <f t="shared" si="45"/>
        <v>0</v>
      </c>
      <c r="BG40" s="54">
        <f t="shared" si="46"/>
        <v>0</v>
      </c>
      <c r="BH40" s="93">
        <f t="shared" si="67"/>
        <v>0</v>
      </c>
      <c r="BI40" s="93">
        <f t="shared" si="68"/>
        <v>0</v>
      </c>
      <c r="BJ40" s="39">
        <f t="shared" si="59"/>
        <v>0</v>
      </c>
      <c r="BK40" s="39">
        <f t="shared" si="60"/>
        <v>0</v>
      </c>
      <c r="BL40" s="39">
        <f t="shared" si="47"/>
        <v>0</v>
      </c>
      <c r="BM40" s="39">
        <f t="shared" si="48"/>
        <v>0</v>
      </c>
      <c r="BN40" s="39" t="str">
        <f t="shared" si="61"/>
        <v/>
      </c>
      <c r="BO40" s="39" t="str">
        <f t="shared" si="62"/>
        <v/>
      </c>
      <c r="BP40" s="43">
        <f t="shared" si="51"/>
        <v>0</v>
      </c>
      <c r="BQ40" s="43">
        <f t="shared" si="52"/>
        <v>0</v>
      </c>
      <c r="BR40" s="44" t="str">
        <f>F40</f>
        <v/>
      </c>
      <c r="BS40" s="45">
        <f>IF(BS37="s","s",E40)</f>
        <v>0</v>
      </c>
      <c r="BT40" s="46"/>
      <c r="BU40" s="46"/>
      <c r="BV40" s="46"/>
      <c r="BW40" s="46"/>
      <c r="BX40" s="47"/>
      <c r="BY40" s="47"/>
      <c r="BZ40" s="47"/>
      <c r="CA40" s="47"/>
      <c r="CB40" s="48"/>
      <c r="CC40" s="48"/>
      <c r="CD40" s="48"/>
      <c r="CE40" s="48"/>
      <c r="CF40" s="48"/>
      <c r="CG40" s="48"/>
      <c r="CH40" s="49"/>
      <c r="CI40" s="49"/>
      <c r="CJ40" s="49"/>
      <c r="CK40" s="49"/>
      <c r="CL40" s="50"/>
      <c r="CM40" s="50"/>
      <c r="CN40" s="50"/>
      <c r="CO40" s="50"/>
      <c r="CP40" s="51"/>
      <c r="CQ40" s="51"/>
      <c r="CR40" s="52"/>
      <c r="CS40" s="52"/>
      <c r="CT40" s="52"/>
      <c r="CU40" s="52"/>
      <c r="CV40" s="53">
        <f t="shared" si="71"/>
        <v>0</v>
      </c>
      <c r="CW40" s="45" t="str">
        <f t="shared" si="58"/>
        <v/>
      </c>
      <c r="CX40" s="38"/>
      <c r="CZ40" s="45"/>
      <c r="DA40" s="54"/>
      <c r="DB40" s="54"/>
      <c r="DC40" s="54"/>
      <c r="DD40" s="54"/>
      <c r="DE40" s="54"/>
      <c r="DF40" s="54"/>
      <c r="DG40" s="54"/>
      <c r="DH40" s="54"/>
      <c r="DQ40" s="54"/>
      <c r="DR40" s="54"/>
      <c r="DU40" s="155"/>
      <c r="DV40" s="155"/>
    </row>
    <row r="41" spans="1:135" s="39" customFormat="1" ht="18.75" customHeight="1" x14ac:dyDescent="0.2">
      <c r="A41" s="39" t="str">
        <f>IF(B41="N","N",IF(OR(B23="A",B26="A",B27="A",B28="A",B29="A",B30="A",B31="A",B32="A",B33="A",B34="A",B35="A",B36="A",B37="A",B38="A",B39="A",B40="A"),"A1","A"))</f>
        <v>N</v>
      </c>
      <c r="B41" s="45" t="str">
        <f>IF(C41="1","N",IF((C23+C26+C27+C28+C29+C30+C31+C32+C33+C34+C35+C36+C37+C38+C39+C40&gt;14),"a","n"))</f>
        <v>n</v>
      </c>
      <c r="C41" s="54" t="str">
        <f t="shared" si="0"/>
        <v>0</v>
      </c>
      <c r="D41" s="117" t="s">
        <v>16</v>
      </c>
      <c r="E41" s="144"/>
      <c r="F41" s="564" t="str">
        <f>IF(F38="","",IF(E41="s",IF(F2="",F54,F2),F38))</f>
        <v/>
      </c>
      <c r="G41" s="565"/>
      <c r="H41" s="565"/>
      <c r="I41" s="565"/>
      <c r="J41" s="565"/>
      <c r="K41" s="567"/>
      <c r="L41" s="144"/>
      <c r="M41" s="564" t="str">
        <f>IF(M37="","",IF(L41="s",IF(M2="",M54,M2),M37))</f>
        <v/>
      </c>
      <c r="N41" s="565"/>
      <c r="O41" s="565"/>
      <c r="P41" s="565"/>
      <c r="Q41" s="565"/>
      <c r="R41" s="565"/>
      <c r="S41" s="565"/>
      <c r="T41" s="566"/>
      <c r="U41" s="146"/>
      <c r="V41" s="147"/>
      <c r="W41" s="147"/>
      <c r="X41" s="147"/>
      <c r="Y41" s="148"/>
      <c r="Z41" s="429" t="str">
        <f t="shared" si="28"/>
        <v/>
      </c>
      <c r="AA41" s="428" t="str">
        <f t="shared" si="29"/>
        <v/>
      </c>
      <c r="AB41" s="108" t="str">
        <f t="shared" si="54"/>
        <v/>
      </c>
      <c r="AC41" s="109" t="str">
        <f t="shared" si="55"/>
        <v/>
      </c>
      <c r="AD41" s="86"/>
      <c r="AE41" s="87" t="str">
        <f t="shared" si="30"/>
        <v/>
      </c>
      <c r="AF41" s="87" t="str">
        <f t="shared" si="31"/>
        <v/>
      </c>
      <c r="AG41" s="87" t="str">
        <f t="shared" si="32"/>
        <v/>
      </c>
      <c r="AH41" s="87" t="str">
        <f t="shared" si="33"/>
        <v/>
      </c>
      <c r="AI41" s="87" t="str">
        <f t="shared" si="34"/>
        <v/>
      </c>
      <c r="AJ41" s="88">
        <f t="shared" si="14"/>
        <v>0</v>
      </c>
      <c r="AK41" s="89" t="str">
        <f t="shared" si="35"/>
        <v/>
      </c>
      <c r="AL41" s="89" t="str">
        <f t="shared" si="36"/>
        <v/>
      </c>
      <c r="AM41" s="89" t="str">
        <f t="shared" si="37"/>
        <v/>
      </c>
      <c r="AN41" s="89" t="str">
        <f t="shared" si="63"/>
        <v/>
      </c>
      <c r="AO41" s="89" t="str">
        <f t="shared" si="64"/>
        <v/>
      </c>
      <c r="AP41" s="90">
        <f t="shared" si="15"/>
        <v>0</v>
      </c>
      <c r="AQ41" s="89" t="str">
        <f t="shared" si="40"/>
        <v/>
      </c>
      <c r="AR41" s="89" t="str">
        <f t="shared" si="41"/>
        <v/>
      </c>
      <c r="AS41" s="89" t="str">
        <f t="shared" si="42"/>
        <v/>
      </c>
      <c r="AT41" s="89" t="str">
        <f t="shared" si="65"/>
        <v/>
      </c>
      <c r="AU41" s="89" t="str">
        <f t="shared" si="66"/>
        <v/>
      </c>
      <c r="AV41" s="91" t="str">
        <f t="shared" si="16"/>
        <v/>
      </c>
      <c r="AW41" s="89" t="str">
        <f t="shared" si="17"/>
        <v/>
      </c>
      <c r="AX41" s="89" t="str">
        <f t="shared" si="18"/>
        <v/>
      </c>
      <c r="AY41" s="89" t="str">
        <f t="shared" si="19"/>
        <v/>
      </c>
      <c r="AZ41" s="89" t="str">
        <f t="shared" si="20"/>
        <v/>
      </c>
      <c r="BA41" s="91" t="str">
        <f t="shared" si="21"/>
        <v/>
      </c>
      <c r="BB41" s="89" t="str">
        <f t="shared" si="22"/>
        <v/>
      </c>
      <c r="BC41" s="89" t="str">
        <f t="shared" si="23"/>
        <v/>
      </c>
      <c r="BD41" s="89" t="str">
        <f t="shared" si="24"/>
        <v/>
      </c>
      <c r="BE41" s="92" t="str">
        <f t="shared" si="25"/>
        <v/>
      </c>
      <c r="BF41" s="54">
        <f t="shared" si="45"/>
        <v>0</v>
      </c>
      <c r="BG41" s="54">
        <f t="shared" si="46"/>
        <v>0</v>
      </c>
      <c r="BH41" s="93">
        <f t="shared" si="67"/>
        <v>0</v>
      </c>
      <c r="BI41" s="93">
        <f t="shared" si="68"/>
        <v>0</v>
      </c>
      <c r="BJ41" s="39">
        <f t="shared" si="59"/>
        <v>0</v>
      </c>
      <c r="BK41" s="39">
        <f t="shared" si="60"/>
        <v>0</v>
      </c>
      <c r="BL41" s="39">
        <f t="shared" si="47"/>
        <v>0</v>
      </c>
      <c r="BM41" s="39">
        <f t="shared" si="48"/>
        <v>0</v>
      </c>
      <c r="BN41" s="39" t="str">
        <f t="shared" si="61"/>
        <v/>
      </c>
      <c r="BO41" s="39" t="str">
        <f t="shared" si="62"/>
        <v/>
      </c>
      <c r="BP41" s="43">
        <f t="shared" si="51"/>
        <v>0</v>
      </c>
      <c r="BQ41" s="43">
        <f t="shared" si="52"/>
        <v>0</v>
      </c>
      <c r="BR41" s="44" t="str">
        <f>F41</f>
        <v/>
      </c>
      <c r="BS41" s="45">
        <f>IF(BS38="s","s",E41)</f>
        <v>0</v>
      </c>
      <c r="BT41" s="46"/>
      <c r="BU41" s="46"/>
      <c r="BV41" s="46"/>
      <c r="BW41" s="46"/>
      <c r="BX41" s="47"/>
      <c r="BY41" s="47"/>
      <c r="BZ41" s="47"/>
      <c r="CA41" s="47"/>
      <c r="CB41" s="48"/>
      <c r="CC41" s="48"/>
      <c r="CD41" s="48"/>
      <c r="CE41" s="48"/>
      <c r="CF41" s="48"/>
      <c r="CG41" s="48"/>
      <c r="CH41" s="49"/>
      <c r="CI41" s="49"/>
      <c r="CJ41" s="49"/>
      <c r="CK41" s="49"/>
      <c r="CL41" s="50"/>
      <c r="CM41" s="50"/>
      <c r="CN41" s="50"/>
      <c r="CO41" s="50"/>
      <c r="CP41" s="51"/>
      <c r="CQ41" s="51"/>
      <c r="CR41" s="52"/>
      <c r="CS41" s="52"/>
      <c r="CT41" s="52"/>
      <c r="CU41" s="52"/>
      <c r="CV41" s="53">
        <f t="shared" si="71"/>
        <v>0</v>
      </c>
      <c r="CW41" s="45" t="str">
        <f t="shared" si="58"/>
        <v/>
      </c>
      <c r="CX41" s="38"/>
      <c r="CZ41" s="45"/>
      <c r="DA41" s="54"/>
      <c r="DB41" s="54"/>
      <c r="DC41" s="54"/>
      <c r="DD41" s="54"/>
      <c r="DE41" s="54"/>
      <c r="DF41" s="54"/>
      <c r="DG41" s="54"/>
      <c r="DH41" s="54"/>
      <c r="DQ41" s="54"/>
      <c r="DR41" s="54"/>
      <c r="DU41" s="155"/>
      <c r="DV41" s="155"/>
    </row>
    <row r="42" spans="1:135" s="39" customFormat="1" ht="18.75" customHeight="1" thickBot="1" x14ac:dyDescent="0.25">
      <c r="A42" s="39" t="str">
        <f>IF(B42="N","N",IF(OR(B23="A",B26="A",B27="A",B28="A",B29="A",B30="A",B31="A",B32="A",B33="A",B34="A",B35="A",B36="A",B37="A",B38="A",B39="A",B40="A",B41="A"),"A1","A"))</f>
        <v>N</v>
      </c>
      <c r="B42" s="45" t="str">
        <f>IF(C42="1","N",IF((C23+C26+C27+C28+C29+C30+C31+C32+C33+C34+C35+C36+C37+C38+C39+C40+C41&gt;15),"a","n"))</f>
        <v>n</v>
      </c>
      <c r="C42" s="54" t="str">
        <f t="shared" si="0"/>
        <v>0</v>
      </c>
      <c r="D42" s="141" t="s">
        <v>17</v>
      </c>
      <c r="E42" s="145"/>
      <c r="F42" s="486" t="str">
        <f>IF(F35="","",IF(E42="s",IF(F2="",F54,F2),F35))</f>
        <v/>
      </c>
      <c r="G42" s="487"/>
      <c r="H42" s="487"/>
      <c r="I42" s="487"/>
      <c r="J42" s="487"/>
      <c r="K42" s="488"/>
      <c r="L42" s="145"/>
      <c r="M42" s="486" t="str">
        <f>IF(M38="","",IF(L42="s",IF(M2="",M54,M2),M38))</f>
        <v/>
      </c>
      <c r="N42" s="487"/>
      <c r="O42" s="487"/>
      <c r="P42" s="487"/>
      <c r="Q42" s="487"/>
      <c r="R42" s="487"/>
      <c r="S42" s="487"/>
      <c r="T42" s="489"/>
      <c r="U42" s="149"/>
      <c r="V42" s="150"/>
      <c r="W42" s="150"/>
      <c r="X42" s="150"/>
      <c r="Y42" s="151"/>
      <c r="Z42" s="142" t="str">
        <f t="shared" si="28"/>
        <v/>
      </c>
      <c r="AA42" s="143" t="str">
        <f t="shared" si="29"/>
        <v/>
      </c>
      <c r="AB42" s="223" t="str">
        <f t="shared" si="54"/>
        <v/>
      </c>
      <c r="AC42" s="224" t="str">
        <f t="shared" si="55"/>
        <v/>
      </c>
      <c r="AD42" s="86"/>
      <c r="AE42" s="87" t="str">
        <f t="shared" si="30"/>
        <v/>
      </c>
      <c r="AF42" s="87" t="str">
        <f t="shared" si="31"/>
        <v/>
      </c>
      <c r="AG42" s="87" t="str">
        <f t="shared" si="32"/>
        <v/>
      </c>
      <c r="AH42" s="87" t="str">
        <f t="shared" si="33"/>
        <v/>
      </c>
      <c r="AI42" s="87" t="str">
        <f t="shared" si="34"/>
        <v/>
      </c>
      <c r="AJ42" s="88">
        <f t="shared" si="14"/>
        <v>0</v>
      </c>
      <c r="AK42" s="89" t="str">
        <f t="shared" si="35"/>
        <v/>
      </c>
      <c r="AL42" s="89" t="str">
        <f t="shared" si="36"/>
        <v/>
      </c>
      <c r="AM42" s="89" t="str">
        <f t="shared" si="37"/>
        <v/>
      </c>
      <c r="AN42" s="89" t="str">
        <f t="shared" si="63"/>
        <v/>
      </c>
      <c r="AO42" s="89" t="str">
        <f t="shared" si="64"/>
        <v/>
      </c>
      <c r="AP42" s="90">
        <f t="shared" si="15"/>
        <v>0</v>
      </c>
      <c r="AQ42" s="89" t="str">
        <f t="shared" si="40"/>
        <v/>
      </c>
      <c r="AR42" s="89" t="str">
        <f t="shared" si="41"/>
        <v/>
      </c>
      <c r="AS42" s="89" t="str">
        <f t="shared" si="42"/>
        <v/>
      </c>
      <c r="AT42" s="89" t="str">
        <f t="shared" si="65"/>
        <v/>
      </c>
      <c r="AU42" s="89" t="str">
        <f t="shared" si="66"/>
        <v/>
      </c>
      <c r="AV42" s="91" t="str">
        <f t="shared" si="16"/>
        <v/>
      </c>
      <c r="AW42" s="89" t="str">
        <f t="shared" si="17"/>
        <v/>
      </c>
      <c r="AX42" s="89" t="str">
        <f t="shared" si="18"/>
        <v/>
      </c>
      <c r="AY42" s="89" t="str">
        <f t="shared" si="19"/>
        <v/>
      </c>
      <c r="AZ42" s="89" t="str">
        <f t="shared" si="20"/>
        <v/>
      </c>
      <c r="BA42" s="91" t="str">
        <f t="shared" si="21"/>
        <v/>
      </c>
      <c r="BB42" s="89" t="str">
        <f t="shared" si="22"/>
        <v/>
      </c>
      <c r="BC42" s="89" t="str">
        <f t="shared" si="23"/>
        <v/>
      </c>
      <c r="BD42" s="89" t="str">
        <f t="shared" si="24"/>
        <v/>
      </c>
      <c r="BE42" s="92" t="str">
        <f t="shared" si="25"/>
        <v/>
      </c>
      <c r="BF42" s="54">
        <f t="shared" si="45"/>
        <v>0</v>
      </c>
      <c r="BG42" s="54">
        <f t="shared" si="46"/>
        <v>0</v>
      </c>
      <c r="BH42" s="93">
        <f t="shared" si="67"/>
        <v>0</v>
      </c>
      <c r="BI42" s="93">
        <f t="shared" si="68"/>
        <v>0</v>
      </c>
      <c r="BJ42" s="39">
        <f t="shared" si="59"/>
        <v>0</v>
      </c>
      <c r="BK42" s="39">
        <f t="shared" si="60"/>
        <v>0</v>
      </c>
      <c r="BL42" s="39">
        <f t="shared" si="47"/>
        <v>0</v>
      </c>
      <c r="BM42" s="39">
        <f t="shared" si="48"/>
        <v>0</v>
      </c>
      <c r="BN42" s="39" t="str">
        <f t="shared" si="61"/>
        <v/>
      </c>
      <c r="BO42" s="39" t="str">
        <f t="shared" si="62"/>
        <v/>
      </c>
      <c r="BP42" s="43">
        <f t="shared" si="51"/>
        <v>0</v>
      </c>
      <c r="BQ42" s="43">
        <f t="shared" si="52"/>
        <v>0</v>
      </c>
      <c r="BR42" s="44" t="str">
        <f>F42</f>
        <v/>
      </c>
      <c r="BS42" s="45">
        <f>IF(BS35="s","s",E42)</f>
        <v>0</v>
      </c>
      <c r="BT42" s="46"/>
      <c r="BU42" s="46"/>
      <c r="BV42" s="46"/>
      <c r="BW42" s="46"/>
      <c r="BX42" s="47"/>
      <c r="BY42" s="47"/>
      <c r="BZ42" s="47"/>
      <c r="CA42" s="47"/>
      <c r="CB42" s="48"/>
      <c r="CC42" s="48"/>
      <c r="CD42" s="48"/>
      <c r="CE42" s="48"/>
      <c r="CF42" s="48"/>
      <c r="CG42" s="48"/>
      <c r="CH42" s="49"/>
      <c r="CI42" s="49"/>
      <c r="CJ42" s="49"/>
      <c r="CK42" s="49"/>
      <c r="CL42" s="50"/>
      <c r="CM42" s="50"/>
      <c r="CN42" s="50"/>
      <c r="CO42" s="50"/>
      <c r="CP42" s="51"/>
      <c r="CQ42" s="51"/>
      <c r="CR42" s="52"/>
      <c r="CS42" s="52"/>
      <c r="CT42" s="52"/>
      <c r="CU42" s="52"/>
      <c r="CV42" s="53">
        <f t="shared" si="71"/>
        <v>0</v>
      </c>
      <c r="CW42" s="45" t="str">
        <f t="shared" si="58"/>
        <v/>
      </c>
      <c r="CX42" s="38"/>
      <c r="CZ42" s="45"/>
      <c r="DA42" s="54"/>
      <c r="DB42" s="54"/>
      <c r="DC42" s="54"/>
      <c r="DD42" s="54"/>
      <c r="DE42" s="54"/>
      <c r="DF42" s="54"/>
      <c r="DG42" s="54"/>
      <c r="DH42" s="54"/>
      <c r="DQ42" s="54"/>
      <c r="DR42" s="54"/>
      <c r="DU42" s="155"/>
      <c r="DV42" s="155"/>
    </row>
    <row r="43" spans="1:135" ht="8.25" customHeight="1" thickTop="1" x14ac:dyDescent="0.2">
      <c r="AJ43" s="24">
        <f>SUM(AJ23:AJ42)</f>
        <v>0</v>
      </c>
      <c r="AP43" s="22">
        <f>SUM(AP23:AP42)</f>
        <v>0</v>
      </c>
      <c r="AZ43" s="22"/>
      <c r="BF43" s="22">
        <f>SUM(BF23:BF42)</f>
        <v>0</v>
      </c>
      <c r="BG43" s="22">
        <f>SUM(BG23:BG42)</f>
        <v>0</v>
      </c>
      <c r="BH43" s="22">
        <f>SUM(BH23:BH42)</f>
        <v>0</v>
      </c>
      <c r="BI43" s="22">
        <f>SUM(BI23:BI42)</f>
        <v>0</v>
      </c>
      <c r="BN43" s="22">
        <f>SUM(BN23:BN42)</f>
        <v>0</v>
      </c>
      <c r="BO43" s="22">
        <f>SUM(BO23:BO42)</f>
        <v>0</v>
      </c>
      <c r="DP43" s="39"/>
      <c r="DQ43" s="54"/>
      <c r="DR43" s="54"/>
      <c r="DS43" s="39"/>
      <c r="DT43" s="39"/>
      <c r="DU43" s="155"/>
      <c r="DV43" s="155"/>
      <c r="DW43" s="39"/>
      <c r="DX43" s="39"/>
      <c r="DY43" s="39"/>
      <c r="DZ43" s="39"/>
      <c r="EA43" s="39"/>
      <c r="EB43" s="39"/>
      <c r="EC43" s="39"/>
    </row>
    <row r="44" spans="1:135" ht="15.75" customHeight="1" x14ac:dyDescent="0.2">
      <c r="D44" s="646" t="s">
        <v>51</v>
      </c>
      <c r="E44" s="646"/>
      <c r="F44" s="646"/>
      <c r="G44" s="646"/>
      <c r="H44" s="646"/>
      <c r="I44" s="646"/>
      <c r="J44" s="646"/>
      <c r="K44" s="64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Z44" s="22"/>
    </row>
    <row r="45" spans="1:135" ht="76.5" customHeight="1" x14ac:dyDescent="0.2"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</row>
    <row r="46" spans="1:135" ht="20.25" customHeight="1" x14ac:dyDescent="0.2">
      <c r="D46" s="475" t="s">
        <v>52</v>
      </c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</row>
    <row r="47" spans="1:135" ht="16.5" customHeight="1" x14ac:dyDescent="0.25">
      <c r="D47" s="475" t="s">
        <v>53</v>
      </c>
      <c r="E47" s="475"/>
      <c r="F47" s="475"/>
      <c r="G47" s="475"/>
      <c r="H47" s="475"/>
      <c r="I47" s="475"/>
      <c r="J47" s="475"/>
      <c r="K47" s="650" t="s">
        <v>54</v>
      </c>
      <c r="L47" s="650"/>
      <c r="M47" s="153" t="s">
        <v>55</v>
      </c>
      <c r="N47" s="476" t="s">
        <v>56</v>
      </c>
      <c r="O47" s="476"/>
      <c r="P47" s="476"/>
    </row>
    <row r="48" spans="1:135" ht="30.75" customHeight="1" x14ac:dyDescent="0.2">
      <c r="D48" s="474"/>
      <c r="E48" s="474"/>
      <c r="F48" s="474"/>
      <c r="G48" s="474"/>
      <c r="H48" s="474"/>
      <c r="I48" s="474"/>
      <c r="J48" s="474"/>
      <c r="K48" s="421"/>
      <c r="L48" s="421"/>
      <c r="M48" s="421"/>
      <c r="N48" s="421"/>
      <c r="O48" s="474"/>
      <c r="P48" s="474"/>
      <c r="Q48" s="474"/>
      <c r="R48" s="474"/>
      <c r="S48" s="474"/>
      <c r="T48" s="474"/>
      <c r="U48" s="421"/>
      <c r="V48" s="421"/>
      <c r="W48" s="474"/>
      <c r="X48" s="474"/>
      <c r="Y48" s="474"/>
      <c r="Z48" s="474"/>
      <c r="AA48" s="474"/>
      <c r="AB48" s="474"/>
      <c r="AC48" s="474"/>
    </row>
    <row r="49" spans="4:29" ht="12.75" customHeight="1" x14ac:dyDescent="0.2">
      <c r="D49" s="490" t="s">
        <v>57</v>
      </c>
      <c r="E49" s="490"/>
      <c r="F49" s="490"/>
      <c r="G49" s="490"/>
      <c r="H49" s="490"/>
      <c r="I49" s="490"/>
      <c r="J49" s="490"/>
      <c r="O49" s="490" t="s">
        <v>57</v>
      </c>
      <c r="P49" s="490"/>
      <c r="Q49" s="490"/>
      <c r="R49" s="490"/>
      <c r="S49" s="490"/>
      <c r="T49" s="490"/>
      <c r="W49" s="473" t="s">
        <v>60</v>
      </c>
      <c r="X49" s="473"/>
      <c r="Y49" s="473"/>
      <c r="Z49" s="473"/>
      <c r="AA49" s="473"/>
      <c r="AB49" s="473"/>
      <c r="AC49" s="473"/>
    </row>
    <row r="50" spans="4:29" ht="12.75" customHeight="1" x14ac:dyDescent="0.2">
      <c r="D50" s="473" t="s">
        <v>58</v>
      </c>
      <c r="E50" s="473"/>
      <c r="F50" s="473"/>
      <c r="G50" s="473"/>
      <c r="H50" s="473"/>
      <c r="I50" s="473"/>
      <c r="J50" s="473"/>
      <c r="O50" s="473" t="s">
        <v>59</v>
      </c>
      <c r="P50" s="473"/>
      <c r="Q50" s="473"/>
      <c r="R50" s="473"/>
      <c r="S50" s="473"/>
      <c r="T50" s="473"/>
      <c r="W50" s="473"/>
      <c r="X50" s="473"/>
      <c r="Y50" s="473"/>
      <c r="Z50" s="473"/>
      <c r="AA50" s="473"/>
      <c r="AB50" s="473"/>
      <c r="AC50" s="473"/>
    </row>
    <row r="51" spans="4:29" ht="12.75" customHeight="1" x14ac:dyDescent="0.2">
      <c r="E51" s="37"/>
      <c r="F51" s="37"/>
      <c r="G51" s="37"/>
      <c r="H51" s="37"/>
      <c r="I51" s="37"/>
      <c r="J51" s="37"/>
      <c r="O51" s="37"/>
      <c r="P51" s="37"/>
      <c r="Q51" s="37"/>
      <c r="R51" s="37"/>
      <c r="S51" s="37"/>
      <c r="T51" s="37"/>
      <c r="W51" s="37"/>
      <c r="X51" s="37"/>
      <c r="Y51" s="37"/>
      <c r="Z51" s="37"/>
      <c r="AA51" s="37"/>
      <c r="AB51" s="37"/>
      <c r="AC51" s="37"/>
    </row>
    <row r="52" spans="4:29" ht="11.25" customHeight="1" x14ac:dyDescent="0.2">
      <c r="L52" s="238"/>
    </row>
    <row r="54" spans="4:29" ht="20.25" hidden="1" customHeight="1" x14ac:dyDescent="0.2">
      <c r="F54" s="643" t="s">
        <v>138</v>
      </c>
      <c r="G54" s="643"/>
      <c r="H54" s="643"/>
      <c r="I54" s="643"/>
      <c r="J54" s="643"/>
      <c r="K54" s="643"/>
      <c r="M54" s="643" t="s">
        <v>138</v>
      </c>
      <c r="N54" s="643"/>
      <c r="O54" s="643"/>
      <c r="P54" s="643"/>
      <c r="Q54" s="643"/>
      <c r="R54" s="643"/>
      <c r="S54" s="643"/>
      <c r="T54" s="643"/>
    </row>
    <row r="71" spans="70:86" ht="20.25" customHeight="1" x14ac:dyDescent="0.2">
      <c r="BR71" s="44"/>
      <c r="BS71" s="45"/>
      <c r="BT71" s="46"/>
      <c r="BU71" s="46"/>
      <c r="BV71" s="46"/>
      <c r="BW71" s="46"/>
      <c r="BX71" s="47"/>
      <c r="BY71" s="47"/>
      <c r="BZ71" s="47"/>
      <c r="CA71" s="47"/>
      <c r="CB71" s="48"/>
      <c r="CC71" s="48"/>
      <c r="CD71" s="48"/>
      <c r="CE71" s="48"/>
      <c r="CF71" s="48"/>
      <c r="CG71" s="48"/>
      <c r="CH71" s="49"/>
    </row>
  </sheetData>
  <sheetProtection password="CB8D" sheet="1" objects="1" scenarios="1"/>
  <mergeCells count="160">
    <mergeCell ref="F1:K1"/>
    <mergeCell ref="M1:T1"/>
    <mergeCell ref="L25:L26"/>
    <mergeCell ref="L23:L24"/>
    <mergeCell ref="F2:K2"/>
    <mergeCell ref="M2:T2"/>
    <mergeCell ref="M33:T33"/>
    <mergeCell ref="F35:K35"/>
    <mergeCell ref="S14:U14"/>
    <mergeCell ref="S15:U15"/>
    <mergeCell ref="S16:U16"/>
    <mergeCell ref="S17:U17"/>
    <mergeCell ref="F23:K23"/>
    <mergeCell ref="U25:U26"/>
    <mergeCell ref="U23:U24"/>
    <mergeCell ref="M35:T35"/>
    <mergeCell ref="G3:Z4"/>
    <mergeCell ref="T18:U19"/>
    <mergeCell ref="S18:S19"/>
    <mergeCell ref="E22:K22"/>
    <mergeCell ref="D3:F8"/>
    <mergeCell ref="Z25:Z26"/>
    <mergeCell ref="V23:V24"/>
    <mergeCell ref="D16:F17"/>
    <mergeCell ref="F54:K54"/>
    <mergeCell ref="F24:K24"/>
    <mergeCell ref="F25:K25"/>
    <mergeCell ref="F33:K33"/>
    <mergeCell ref="F34:K34"/>
    <mergeCell ref="F32:K32"/>
    <mergeCell ref="F41:K41"/>
    <mergeCell ref="D44:K44"/>
    <mergeCell ref="M54:T54"/>
    <mergeCell ref="M41:T41"/>
    <mergeCell ref="F27:K27"/>
    <mergeCell ref="F28:K28"/>
    <mergeCell ref="M31:T31"/>
    <mergeCell ref="M38:T38"/>
    <mergeCell ref="M40:T40"/>
    <mergeCell ref="M36:T36"/>
    <mergeCell ref="M37:T37"/>
    <mergeCell ref="F37:K37"/>
    <mergeCell ref="F38:K38"/>
    <mergeCell ref="F39:K39"/>
    <mergeCell ref="F40:K40"/>
    <mergeCell ref="K47:L47"/>
    <mergeCell ref="F26:K26"/>
    <mergeCell ref="M32:T32"/>
    <mergeCell ref="S12:U12"/>
    <mergeCell ref="G8:O8"/>
    <mergeCell ref="P8:V8"/>
    <mergeCell ref="N17:P17"/>
    <mergeCell ref="K16:M17"/>
    <mergeCell ref="G14:R15"/>
    <mergeCell ref="G16:G17"/>
    <mergeCell ref="AC25:AC26"/>
    <mergeCell ref="AA23:AA24"/>
    <mergeCell ref="AB23:AB24"/>
    <mergeCell ref="W23:W24"/>
    <mergeCell ref="X23:X24"/>
    <mergeCell ref="W25:W26"/>
    <mergeCell ref="AA25:AA26"/>
    <mergeCell ref="AB25:AB26"/>
    <mergeCell ref="G10:R11"/>
    <mergeCell ref="G12:R13"/>
    <mergeCell ref="AC12:AC13"/>
    <mergeCell ref="M24:T24"/>
    <mergeCell ref="M25:T25"/>
    <mergeCell ref="I18:I19"/>
    <mergeCell ref="M18:N19"/>
    <mergeCell ref="K18:L19"/>
    <mergeCell ref="R18:R19"/>
    <mergeCell ref="M34:T34"/>
    <mergeCell ref="M39:T39"/>
    <mergeCell ref="F36:K36"/>
    <mergeCell ref="E25:E26"/>
    <mergeCell ref="D23:D24"/>
    <mergeCell ref="F29:K29"/>
    <mergeCell ref="F30:K30"/>
    <mergeCell ref="F31:K31"/>
    <mergeCell ref="M29:T29"/>
    <mergeCell ref="M30:T30"/>
    <mergeCell ref="M27:T27"/>
    <mergeCell ref="M28:T28"/>
    <mergeCell ref="D25:D26"/>
    <mergeCell ref="E23:E24"/>
    <mergeCell ref="M23:T23"/>
    <mergeCell ref="M26:T26"/>
    <mergeCell ref="D12:F13"/>
    <mergeCell ref="D10:F11"/>
    <mergeCell ref="AC10:AC11"/>
    <mergeCell ref="Z22:AA22"/>
    <mergeCell ref="AB22:AC22"/>
    <mergeCell ref="V18:W19"/>
    <mergeCell ref="L22:T22"/>
    <mergeCell ref="U22:Y22"/>
    <mergeCell ref="D21:AC21"/>
    <mergeCell ref="G18:G19"/>
    <mergeCell ref="X18:AC19"/>
    <mergeCell ref="Q18:Q19"/>
    <mergeCell ref="H18:H19"/>
    <mergeCell ref="O18:O19"/>
    <mergeCell ref="D18:F18"/>
    <mergeCell ref="Q16:R17"/>
    <mergeCell ref="S13:U13"/>
    <mergeCell ref="V12:AA13"/>
    <mergeCell ref="J18:J19"/>
    <mergeCell ref="V14:AA15"/>
    <mergeCell ref="AC16:AC17"/>
    <mergeCell ref="AC14:AC15"/>
    <mergeCell ref="D14:F14"/>
    <mergeCell ref="D15:F15"/>
    <mergeCell ref="D50:J50"/>
    <mergeCell ref="O48:T48"/>
    <mergeCell ref="D46:AC46"/>
    <mergeCell ref="D47:J47"/>
    <mergeCell ref="N47:P47"/>
    <mergeCell ref="V16:AA17"/>
    <mergeCell ref="D19:F19"/>
    <mergeCell ref="P18:P19"/>
    <mergeCell ref="W49:AC49"/>
    <mergeCell ref="D48:J48"/>
    <mergeCell ref="W48:AC48"/>
    <mergeCell ref="W50:AC50"/>
    <mergeCell ref="D45:AC45"/>
    <mergeCell ref="F42:K42"/>
    <mergeCell ref="M42:T42"/>
    <mergeCell ref="D49:J49"/>
    <mergeCell ref="O49:T49"/>
    <mergeCell ref="O50:T50"/>
    <mergeCell ref="AC23:AC24"/>
    <mergeCell ref="V25:V26"/>
    <mergeCell ref="Y23:Y24"/>
    <mergeCell ref="Z23:Z24"/>
    <mergeCell ref="X25:X26"/>
    <mergeCell ref="Y25:Y26"/>
    <mergeCell ref="X1:Z2"/>
    <mergeCell ref="V1:W2"/>
    <mergeCell ref="AB1:AC2"/>
    <mergeCell ref="AA1:AA2"/>
    <mergeCell ref="DA22:DE22"/>
    <mergeCell ref="DF22:DH22"/>
    <mergeCell ref="V10:AA11"/>
    <mergeCell ref="AB14:AB15"/>
    <mergeCell ref="AB16:AB17"/>
    <mergeCell ref="AB12:AB13"/>
    <mergeCell ref="AA6:AC6"/>
    <mergeCell ref="AA5:AC5"/>
    <mergeCell ref="CR22:CS22"/>
    <mergeCell ref="AA3:AC3"/>
    <mergeCell ref="AA4:AC4"/>
    <mergeCell ref="AA7:AC7"/>
    <mergeCell ref="G5:Z7"/>
    <mergeCell ref="H16:J16"/>
    <mergeCell ref="H17:J17"/>
    <mergeCell ref="N16:P16"/>
    <mergeCell ref="AA8:AC8"/>
    <mergeCell ref="AB10:AB11"/>
    <mergeCell ref="S10:U10"/>
    <mergeCell ref="S11:U11"/>
  </mergeCells>
  <phoneticPr fontId="27" type="noConversion"/>
  <conditionalFormatting sqref="E35 L35">
    <cfRule type="expression" dxfId="107" priority="6" stopIfTrue="1">
      <formula>AND((COUNTIF(E31:E42,"s"))&gt;1)</formula>
    </cfRule>
    <cfRule type="expression" dxfId="106" priority="7" stopIfTrue="1">
      <formula>$B$35="A"</formula>
    </cfRule>
  </conditionalFormatting>
  <conditionalFormatting sqref="E36 L36">
    <cfRule type="expression" dxfId="105" priority="8" stopIfTrue="1">
      <formula>AND((COUNTIF(E31:E42,"s"))&gt;1)</formula>
    </cfRule>
    <cfRule type="expression" dxfId="104" priority="9" stopIfTrue="1">
      <formula>$B$36="A"</formula>
    </cfRule>
  </conditionalFormatting>
  <conditionalFormatting sqref="F27:K27">
    <cfRule type="expression" dxfId="103" priority="10" stopIfTrue="1">
      <formula>M27=""</formula>
    </cfRule>
    <cfRule type="expression" dxfId="102" priority="11" stopIfTrue="1">
      <formula>$B$27="A"</formula>
    </cfRule>
    <cfRule type="expression" dxfId="101" priority="12" stopIfTrue="1">
      <formula>AND((COUNTIF(F27:F30,F27))&gt;1,F27&lt;&gt;0)</formula>
    </cfRule>
  </conditionalFormatting>
  <conditionalFormatting sqref="X1">
    <cfRule type="expression" dxfId="100" priority="13" stopIfTrue="1">
      <formula>OR(AB1=10,X1=10)</formula>
    </cfRule>
    <cfRule type="expression" dxfId="99" priority="14" stopIfTrue="1">
      <formula>AND(AB1=9,X1=9)</formula>
    </cfRule>
  </conditionalFormatting>
  <conditionalFormatting sqref="F23:K23 M23:T23">
    <cfRule type="expression" dxfId="98" priority="15" stopIfTrue="1">
      <formula>$M$23=""</formula>
    </cfRule>
    <cfRule type="expression" dxfId="97" priority="16" stopIfTrue="1">
      <formula>$B$23="A"</formula>
    </cfRule>
    <cfRule type="expression" dxfId="96" priority="17" stopIfTrue="1">
      <formula>AND((COUNTIF(F23:F26,F23))&gt;1,F23&lt;&gt;0)</formula>
    </cfRule>
  </conditionalFormatting>
  <conditionalFormatting sqref="F24:K24 M24:T24">
    <cfRule type="expression" dxfId="95" priority="18" stopIfTrue="1">
      <formula>$M$23=""</formula>
    </cfRule>
    <cfRule type="expression" dxfId="94" priority="19" stopIfTrue="1">
      <formula>$B$23="A"</formula>
    </cfRule>
    <cfRule type="expression" dxfId="93" priority="20" stopIfTrue="1">
      <formula>AND((COUNTIF(F23:F26,F24))&gt;1,F24&lt;&gt;0)</formula>
    </cfRule>
  </conditionalFormatting>
  <conditionalFormatting sqref="F25:K25 M25:T25">
    <cfRule type="expression" dxfId="92" priority="21" stopIfTrue="1">
      <formula>$M$25=""</formula>
    </cfRule>
    <cfRule type="expression" dxfId="91" priority="22" stopIfTrue="1">
      <formula>$B$26="A"</formula>
    </cfRule>
    <cfRule type="expression" dxfId="90" priority="23" stopIfTrue="1">
      <formula>AND((COUNTIF(F23:F26,F25))&gt;1,F25&lt;&gt;0)</formula>
    </cfRule>
  </conditionalFormatting>
  <conditionalFormatting sqref="F26:K26 M26:T26">
    <cfRule type="expression" dxfId="89" priority="24" stopIfTrue="1">
      <formula>$M$26=""</formula>
    </cfRule>
    <cfRule type="expression" dxfId="88" priority="25" stopIfTrue="1">
      <formula>$B$26="A"</formula>
    </cfRule>
    <cfRule type="expression" dxfId="87" priority="26" stopIfTrue="1">
      <formula>AND((COUNTIF(F23:F26,F26))&gt;1,F26&lt;&gt;0)</formula>
    </cfRule>
  </conditionalFormatting>
  <conditionalFormatting sqref="M27:T27">
    <cfRule type="expression" dxfId="86" priority="27" stopIfTrue="1">
      <formula>$M$27=""</formula>
    </cfRule>
    <cfRule type="expression" dxfId="85" priority="28" stopIfTrue="1">
      <formula>$B$27="A"</formula>
    </cfRule>
    <cfRule type="expression" dxfId="84" priority="29" stopIfTrue="1">
      <formula>AND((COUNTIF(M27:M30,M27))&gt;1,M27&lt;&gt;0)</formula>
    </cfRule>
  </conditionalFormatting>
  <conditionalFormatting sqref="F28:K28 M28:T28">
    <cfRule type="expression" dxfId="83" priority="30" stopIfTrue="1">
      <formula>$M$28=""</formula>
    </cfRule>
    <cfRule type="expression" dxfId="82" priority="31" stopIfTrue="1">
      <formula>$B$28="A"</formula>
    </cfRule>
    <cfRule type="expression" dxfId="81" priority="32" stopIfTrue="1">
      <formula>AND((COUNTIF(F27:F30,F28))&gt;1,F28&lt;&gt;0)</formula>
    </cfRule>
  </conditionalFormatting>
  <conditionalFormatting sqref="F29:K29 M29:T29">
    <cfRule type="expression" dxfId="80" priority="33" stopIfTrue="1">
      <formula>$M$29=""</formula>
    </cfRule>
    <cfRule type="expression" dxfId="79" priority="34" stopIfTrue="1">
      <formula>$B$29="A"</formula>
    </cfRule>
    <cfRule type="expression" dxfId="78" priority="35" stopIfTrue="1">
      <formula>AND((COUNTIF(F27:F30,F29))&gt;1,F29&lt;&gt;0)</formula>
    </cfRule>
  </conditionalFormatting>
  <conditionalFormatting sqref="F30:K30 M30:T30">
    <cfRule type="expression" dxfId="77" priority="36" stopIfTrue="1">
      <formula>$M$30=""</formula>
    </cfRule>
    <cfRule type="expression" dxfId="76" priority="37" stopIfTrue="1">
      <formula>$B$30="A"</formula>
    </cfRule>
    <cfRule type="expression" dxfId="75" priority="38" stopIfTrue="1">
      <formula>AND((COUNTIF(F27:F30,F30))&gt;1,F30&lt;&gt;0)</formula>
    </cfRule>
  </conditionalFormatting>
  <conditionalFormatting sqref="DQ1:DQ2">
    <cfRule type="expression" dxfId="74" priority="39" stopIfTrue="1">
      <formula>OR(Z1=10,AD1=10)</formula>
    </cfRule>
    <cfRule type="expression" dxfId="73" priority="40" stopIfTrue="1">
      <formula>AND(Z1=9,AD1=9)</formula>
    </cfRule>
  </conditionalFormatting>
  <conditionalFormatting sqref="AB1:AC2">
    <cfRule type="expression" dxfId="72" priority="41" stopIfTrue="1">
      <formula>OR(X1=10,AB1=10)</formula>
    </cfRule>
    <cfRule type="expression" dxfId="71" priority="42" stopIfTrue="1">
      <formula>AND(X1=9,AB1=9)</formula>
    </cfRule>
  </conditionalFormatting>
  <conditionalFormatting sqref="AA1:AA2">
    <cfRule type="expression" dxfId="70" priority="43" stopIfTrue="1">
      <formula>OR(X1=10,AB1=10)</formula>
    </cfRule>
    <cfRule type="expression" dxfId="69" priority="44" stopIfTrue="1">
      <formula>AND(X1=9,AB1=9)</formula>
    </cfRule>
  </conditionalFormatting>
  <conditionalFormatting sqref="V1">
    <cfRule type="expression" dxfId="68" priority="45" stopIfTrue="1">
      <formula>OR(X1=10,AB1=10)</formula>
    </cfRule>
    <cfRule type="expression" dxfId="67" priority="46" stopIfTrue="1">
      <formula>AND(X1=9,AB1=9)</formula>
    </cfRule>
  </conditionalFormatting>
  <conditionalFormatting sqref="U25:Y25">
    <cfRule type="expression" dxfId="66" priority="47" stopIfTrue="1">
      <formula>$B$26="A"</formula>
    </cfRule>
  </conditionalFormatting>
  <conditionalFormatting sqref="U23:Y23">
    <cfRule type="expression" dxfId="65" priority="48" stopIfTrue="1">
      <formula>$B$23="A"</formula>
    </cfRule>
  </conditionalFormatting>
  <conditionalFormatting sqref="U27:Y27">
    <cfRule type="expression" dxfId="64" priority="49" stopIfTrue="1">
      <formula>$B$27="A"</formula>
    </cfRule>
  </conditionalFormatting>
  <conditionalFormatting sqref="U28:Y28">
    <cfRule type="expression" dxfId="63" priority="50" stopIfTrue="1">
      <formula>$B$28="A"</formula>
    </cfRule>
  </conditionalFormatting>
  <conditionalFormatting sqref="U29:Y29">
    <cfRule type="expression" dxfId="62" priority="51" stopIfTrue="1">
      <formula>$B$29="A"</formula>
    </cfRule>
  </conditionalFormatting>
  <conditionalFormatting sqref="U30:Y30">
    <cfRule type="expression" dxfId="61" priority="52" stopIfTrue="1">
      <formula>$B$30="A"</formula>
    </cfRule>
  </conditionalFormatting>
  <conditionalFormatting sqref="U31:Y31">
    <cfRule type="expression" dxfId="60" priority="53" stopIfTrue="1">
      <formula>$B$31="A"</formula>
    </cfRule>
  </conditionalFormatting>
  <conditionalFormatting sqref="U32:Y32">
    <cfRule type="expression" dxfId="59" priority="54" stopIfTrue="1">
      <formula>$B$32="A"</formula>
    </cfRule>
  </conditionalFormatting>
  <conditionalFormatting sqref="U33:Y33">
    <cfRule type="expression" dxfId="58" priority="55" stopIfTrue="1">
      <formula>$B$33="A"</formula>
    </cfRule>
  </conditionalFormatting>
  <conditionalFormatting sqref="U34:Y34">
    <cfRule type="expression" dxfId="57" priority="56" stopIfTrue="1">
      <formula>$B$34="A"</formula>
    </cfRule>
  </conditionalFormatting>
  <conditionalFormatting sqref="U35:Y35">
    <cfRule type="expression" dxfId="56" priority="57" stopIfTrue="1">
      <formula>$B$35="A"</formula>
    </cfRule>
  </conditionalFormatting>
  <conditionalFormatting sqref="U36:Y36">
    <cfRule type="expression" dxfId="55" priority="58" stopIfTrue="1">
      <formula>$B$36="A"</formula>
    </cfRule>
  </conditionalFormatting>
  <conditionalFormatting sqref="U37:Y37">
    <cfRule type="expression" dxfId="54" priority="59" stopIfTrue="1">
      <formula>$B$37="A"</formula>
    </cfRule>
  </conditionalFormatting>
  <conditionalFormatting sqref="U38:Y38">
    <cfRule type="expression" dxfId="53" priority="60" stopIfTrue="1">
      <formula>$B$38="A"</formula>
    </cfRule>
  </conditionalFormatting>
  <conditionalFormatting sqref="U39:Y39">
    <cfRule type="expression" dxfId="52" priority="61" stopIfTrue="1">
      <formula>$B$39="A"</formula>
    </cfRule>
  </conditionalFormatting>
  <conditionalFormatting sqref="U40:Y40">
    <cfRule type="expression" dxfId="51" priority="62" stopIfTrue="1">
      <formula>$B$40="A"</formula>
    </cfRule>
  </conditionalFormatting>
  <conditionalFormatting sqref="U41:Y41">
    <cfRule type="expression" dxfId="50" priority="63" stopIfTrue="1">
      <formula>$B$41="A"</formula>
    </cfRule>
  </conditionalFormatting>
  <conditionalFormatting sqref="U42:Y42">
    <cfRule type="expression" dxfId="49" priority="64" stopIfTrue="1">
      <formula>$B$42="A"</formula>
    </cfRule>
  </conditionalFormatting>
  <conditionalFormatting sqref="L23:L24 D23:E24">
    <cfRule type="expression" dxfId="48" priority="65" stopIfTrue="1">
      <formula>$M$23=""</formula>
    </cfRule>
    <cfRule type="expression" dxfId="47" priority="66" stopIfTrue="1">
      <formula>$B$23="A"</formula>
    </cfRule>
  </conditionalFormatting>
  <conditionalFormatting sqref="D25:E25 L25">
    <cfRule type="expression" dxfId="46" priority="67" stopIfTrue="1">
      <formula>$M$26=""</formula>
    </cfRule>
    <cfRule type="expression" dxfId="45" priority="68" stopIfTrue="1">
      <formula>$B$26="A"</formula>
    </cfRule>
  </conditionalFormatting>
  <conditionalFormatting sqref="D27:E27 L27">
    <cfRule type="expression" dxfId="44" priority="69" stopIfTrue="1">
      <formula>$M$27=""</formula>
    </cfRule>
    <cfRule type="expression" dxfId="43" priority="70" stopIfTrue="1">
      <formula>$B$27="A"</formula>
    </cfRule>
  </conditionalFormatting>
  <conditionalFormatting sqref="D28:E28 L28">
    <cfRule type="expression" dxfId="42" priority="71" stopIfTrue="1">
      <formula>$M$28=""</formula>
    </cfRule>
    <cfRule type="expression" dxfId="41" priority="72" stopIfTrue="1">
      <formula>$B$28="A"</formula>
    </cfRule>
  </conditionalFormatting>
  <conditionalFormatting sqref="D29:E29 L29">
    <cfRule type="expression" dxfId="40" priority="73" stopIfTrue="1">
      <formula>$M$29=""</formula>
    </cfRule>
    <cfRule type="expression" dxfId="39" priority="74" stopIfTrue="1">
      <formula>$B$29="A"</formula>
    </cfRule>
  </conditionalFormatting>
  <conditionalFormatting sqref="D30:E30 L30">
    <cfRule type="expression" dxfId="38" priority="75" stopIfTrue="1">
      <formula>$M$30=""</formula>
    </cfRule>
    <cfRule type="expression" dxfId="37" priority="76" stopIfTrue="1">
      <formula>$B$30="A"</formula>
    </cfRule>
  </conditionalFormatting>
  <conditionalFormatting sqref="F31 D31 M31:T31">
    <cfRule type="expression" dxfId="36" priority="77" stopIfTrue="1">
      <formula>$B$31="A"</formula>
    </cfRule>
  </conditionalFormatting>
  <conditionalFormatting sqref="D32 F32:K32 M32">
    <cfRule type="expression" dxfId="35" priority="78" stopIfTrue="1">
      <formula>$B$32="A"</formula>
    </cfRule>
  </conditionalFormatting>
  <conditionalFormatting sqref="D33 F33:K33 M33">
    <cfRule type="expression" dxfId="34" priority="79" stopIfTrue="1">
      <formula>$B$33="A"</formula>
    </cfRule>
  </conditionalFormatting>
  <conditionalFormatting sqref="D34 F34:K34 M34">
    <cfRule type="expression" dxfId="33" priority="80" stopIfTrue="1">
      <formula>$B$34="A"</formula>
    </cfRule>
  </conditionalFormatting>
  <conditionalFormatting sqref="D35 M35 F35:K35">
    <cfRule type="expression" dxfId="32" priority="81" stopIfTrue="1">
      <formula>$B$35="A"</formula>
    </cfRule>
  </conditionalFormatting>
  <conditionalFormatting sqref="D36 F36:K36 M36">
    <cfRule type="expression" dxfId="31" priority="82" stopIfTrue="1">
      <formula>$B$36="A"</formula>
    </cfRule>
  </conditionalFormatting>
  <conditionalFormatting sqref="D37 F37:K37 M37">
    <cfRule type="expression" dxfId="30" priority="83" stopIfTrue="1">
      <formula>$B$37="A"</formula>
    </cfRule>
  </conditionalFormatting>
  <conditionalFormatting sqref="D38 F38:K38 M38">
    <cfRule type="expression" dxfId="29" priority="84" stopIfTrue="1">
      <formula>$B$38="A"</formula>
    </cfRule>
  </conditionalFormatting>
  <conditionalFormatting sqref="D39 F39:K39 M39">
    <cfRule type="expression" dxfId="28" priority="85" stopIfTrue="1">
      <formula>$B$39="A"</formula>
    </cfRule>
  </conditionalFormatting>
  <conditionalFormatting sqref="D40 F40:K40 M40">
    <cfRule type="expression" dxfId="27" priority="86" stopIfTrue="1">
      <formula>$B$40="A"</formula>
    </cfRule>
  </conditionalFormatting>
  <conditionalFormatting sqref="D41 F41:K41 M41">
    <cfRule type="expression" dxfId="26" priority="87" stopIfTrue="1">
      <formula>$B$41="A"</formula>
    </cfRule>
  </conditionalFormatting>
  <conditionalFormatting sqref="D42 F42:K42 M42">
    <cfRule type="expression" dxfId="25" priority="88" stopIfTrue="1">
      <formula>$B$42="A"</formula>
    </cfRule>
  </conditionalFormatting>
  <conditionalFormatting sqref="E31 L31">
    <cfRule type="expression" dxfId="24" priority="89" stopIfTrue="1">
      <formula>AND((COUNTIF($E$31:$E$42,"s"))&gt;1)</formula>
    </cfRule>
    <cfRule type="expression" dxfId="23" priority="90" stopIfTrue="1">
      <formula>$B$31="A"</formula>
    </cfRule>
  </conditionalFormatting>
  <conditionalFormatting sqref="E32 L32">
    <cfRule type="expression" dxfId="22" priority="91" stopIfTrue="1">
      <formula>AND((COUNTIF($E$31:$E$42,"s"))&gt;1)</formula>
    </cfRule>
    <cfRule type="expression" dxfId="21" priority="92" stopIfTrue="1">
      <formula>$B$32="A"</formula>
    </cfRule>
  </conditionalFormatting>
  <conditionalFormatting sqref="E33 L33">
    <cfRule type="expression" dxfId="20" priority="93" stopIfTrue="1">
      <formula>AND((COUNTIF($E$31:$E$42,"s"))&gt;1)</formula>
    </cfRule>
    <cfRule type="expression" dxfId="19" priority="94" stopIfTrue="1">
      <formula>$B$33="A"</formula>
    </cfRule>
  </conditionalFormatting>
  <conditionalFormatting sqref="E34 L34">
    <cfRule type="expression" dxfId="18" priority="95" stopIfTrue="1">
      <formula>AND((COUNTIF($E$31:$E$42,"s"))&gt;1)</formula>
    </cfRule>
    <cfRule type="expression" dxfId="17" priority="96" stopIfTrue="1">
      <formula>$B$34="A"</formula>
    </cfRule>
  </conditionalFormatting>
  <conditionalFormatting sqref="E37 L37">
    <cfRule type="expression" dxfId="16" priority="97" stopIfTrue="1">
      <formula>AND((COUNTIF($E$31:$E$42,"s"))&gt;1)</formula>
    </cfRule>
    <cfRule type="expression" dxfId="15" priority="98" stopIfTrue="1">
      <formula>$B$37="A"</formula>
    </cfRule>
  </conditionalFormatting>
  <conditionalFormatting sqref="E38 L38">
    <cfRule type="expression" dxfId="14" priority="99" stopIfTrue="1">
      <formula>AND((COUNTIF($E$31:$E$42,"s"))&gt;1)</formula>
    </cfRule>
    <cfRule type="expression" dxfId="13" priority="100" stopIfTrue="1">
      <formula>$B$38="A"</formula>
    </cfRule>
  </conditionalFormatting>
  <conditionalFormatting sqref="E39 L39">
    <cfRule type="expression" dxfId="12" priority="101" stopIfTrue="1">
      <formula>AND((COUNTIF($E$31:$E$42,"s"))&gt;1)</formula>
    </cfRule>
    <cfRule type="expression" dxfId="11" priority="102" stopIfTrue="1">
      <formula>$B$39="A"</formula>
    </cfRule>
  </conditionalFormatting>
  <conditionalFormatting sqref="E40 L40">
    <cfRule type="expression" dxfId="10" priority="103" stopIfTrue="1">
      <formula>AND((COUNTIF($E$31:$E$42,"s"))&gt;1)</formula>
    </cfRule>
    <cfRule type="expression" dxfId="9" priority="104" stopIfTrue="1">
      <formula>$B$40="A"</formula>
    </cfRule>
  </conditionalFormatting>
  <conditionalFormatting sqref="E41 L41">
    <cfRule type="expression" dxfId="8" priority="105" stopIfTrue="1">
      <formula>AND((COUNTIF($E$31:$E$42,"s"))&gt;1)</formula>
    </cfRule>
    <cfRule type="expression" dxfId="7" priority="106" stopIfTrue="1">
      <formula>$B$41="A"</formula>
    </cfRule>
  </conditionalFormatting>
  <conditionalFormatting sqref="E42 L42">
    <cfRule type="expression" dxfId="6" priority="107" stopIfTrue="1">
      <formula>AND((COUNTIF($E$31:$E$42,"s"))&gt;1)</formula>
    </cfRule>
    <cfRule type="expression" dxfId="5" priority="108" stopIfTrue="1">
      <formula>$B$42="A"</formula>
    </cfRule>
  </conditionalFormatting>
  <conditionalFormatting sqref="Z23:Z24">
    <cfRule type="cellIs" dxfId="4" priority="5" stopIfTrue="1" operator="between">
      <formula>4</formula>
      <formula>5</formula>
    </cfRule>
  </conditionalFormatting>
  <conditionalFormatting sqref="AA23:AA24">
    <cfRule type="cellIs" dxfId="3" priority="4" stopIfTrue="1" operator="between">
      <formula>4</formula>
      <formula>5</formula>
    </cfRule>
  </conditionalFormatting>
  <conditionalFormatting sqref="Z25:Z26">
    <cfRule type="cellIs" dxfId="2" priority="3" stopIfTrue="1" operator="between">
      <formula>4</formula>
      <formula>5</formula>
    </cfRule>
  </conditionalFormatting>
  <conditionalFormatting sqref="AA25:AA26">
    <cfRule type="cellIs" dxfId="1" priority="2" stopIfTrue="1" operator="between">
      <formula>4</formula>
      <formula>5</formula>
    </cfRule>
  </conditionalFormatting>
  <conditionalFormatting sqref="Z27:AA42">
    <cfRule type="cellIs" dxfId="0" priority="1" stopIfTrue="1" operator="between">
      <formula>4</formula>
      <formula>5</formula>
    </cfRule>
  </conditionalFormatting>
  <dataValidations count="6">
    <dataValidation type="list" allowBlank="1" showInputMessage="1" showErrorMessage="1" error="špatně zadané družstvo - vyber družstvo ze seznamu" sqref="G10:R13">
      <formula1>$DR$21:$EE$21</formula1>
    </dataValidation>
    <dataValidation type="list" errorStyle="information" allowBlank="1" showInputMessage="1" showErrorMessage="1" error="datum jiného dne" sqref="G16:G17">
      <formula1>$AF$2</formula1>
    </dataValidation>
    <dataValidation type="list" errorStyle="information" allowBlank="1" showInputMessage="1" showErrorMessage="1" sqref="K16:M17">
      <formula1>$AF$3:$AF$8</formula1>
    </dataValidation>
    <dataValidation type="list" allowBlank="1" showInputMessage="1" showErrorMessage="1" errorTitle="špatně zadaná soutěž" error="špatně zadaná soutěž - vyber soutěž ze seznamu" sqref="P8:V8">
      <formula1>$DP$14:$DP$17</formula1>
    </dataValidation>
    <dataValidation type="list" errorStyle="warning" allowBlank="1" showInputMessage="1" showErrorMessage="1" error="hráč není v seznamu" sqref="F23:K30 F2:K2">
      <formula1>$DP$22:$DP$36</formula1>
    </dataValidation>
    <dataValidation type="list" errorStyle="warning" allowBlank="1" showInputMessage="1" showErrorMessage="1" error="hráč není v seznamu" sqref="M23:T30 M2:T2">
      <formula1>$DQ$22:$DQ$36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U54"/>
  <sheetViews>
    <sheetView showGridLines="0" workbookViewId="0">
      <selection activeCell="E4" sqref="E4:E5"/>
    </sheetView>
  </sheetViews>
  <sheetFormatPr defaultColWidth="5" defaultRowHeight="20.25" customHeight="1" x14ac:dyDescent="0.2"/>
  <cols>
    <col min="1" max="1" width="25.7109375" style="404" customWidth="1"/>
    <col min="2" max="4" width="3.85546875" style="405" customWidth="1"/>
    <col min="5" max="5" width="4.7109375" style="330" customWidth="1"/>
    <col min="6" max="6" width="1.28515625" style="330" customWidth="1"/>
    <col min="7" max="7" width="4.7109375" style="404" customWidth="1"/>
    <col min="8" max="8" width="5.7109375" style="330" customWidth="1"/>
    <col min="9" max="9" width="1.28515625" style="330" customWidth="1"/>
    <col min="10" max="10" width="5.7109375" style="404" customWidth="1"/>
    <col min="11" max="11" width="8.42578125" style="404" customWidth="1"/>
    <col min="12" max="12" width="25.7109375" style="404" customWidth="1"/>
    <col min="13" max="13" width="3.85546875" style="404" customWidth="1"/>
    <col min="14" max="15" width="3.85546875" style="405" customWidth="1"/>
    <col min="16" max="16" width="4.7109375" style="406" customWidth="1"/>
    <col min="17" max="17" width="1.28515625" style="330" customWidth="1"/>
    <col min="18" max="18" width="4.7109375" style="404" customWidth="1"/>
    <col min="19" max="19" width="5.7109375" style="406" customWidth="1"/>
    <col min="20" max="20" width="1.28515625" style="330" customWidth="1"/>
    <col min="21" max="21" width="5.7109375" style="404" customWidth="1"/>
    <col min="22" max="16384" width="5" style="330"/>
  </cols>
  <sheetData>
    <row r="1" spans="1:21" s="315" customFormat="1" ht="46.5" customHeight="1" x14ac:dyDescent="0.2">
      <c r="A1" s="311">
        <f>'Zápis-4hráči'!BR22</f>
        <v>0</v>
      </c>
      <c r="B1" s="312" t="s">
        <v>73</v>
      </c>
      <c r="C1" s="313" t="s">
        <v>74</v>
      </c>
      <c r="D1" s="312" t="s">
        <v>75</v>
      </c>
      <c r="E1" s="671" t="s">
        <v>70</v>
      </c>
      <c r="F1" s="672"/>
      <c r="G1" s="673"/>
      <c r="H1" s="671" t="s">
        <v>71</v>
      </c>
      <c r="I1" s="672"/>
      <c r="J1" s="673"/>
      <c r="K1" s="314"/>
      <c r="L1" s="311">
        <f>'Zápis-4hráči'!CW22</f>
        <v>0</v>
      </c>
      <c r="M1" s="312" t="s">
        <v>73</v>
      </c>
      <c r="N1" s="312" t="s">
        <v>74</v>
      </c>
      <c r="O1" s="312" t="s">
        <v>75</v>
      </c>
      <c r="P1" s="671" t="s">
        <v>70</v>
      </c>
      <c r="Q1" s="672"/>
      <c r="R1" s="673"/>
      <c r="S1" s="671" t="s">
        <v>71</v>
      </c>
      <c r="T1" s="672"/>
      <c r="U1" s="673"/>
    </row>
    <row r="2" spans="1:21" s="315" customFormat="1" ht="6" customHeight="1" x14ac:dyDescent="0.2">
      <c r="A2" s="316"/>
      <c r="B2" s="317"/>
      <c r="C2" s="318"/>
      <c r="D2" s="317"/>
      <c r="E2" s="318"/>
      <c r="F2" s="314"/>
      <c r="G2" s="319"/>
      <c r="H2" s="318"/>
      <c r="I2" s="314"/>
      <c r="J2" s="319"/>
      <c r="K2" s="314"/>
      <c r="L2" s="316"/>
      <c r="M2" s="317"/>
      <c r="N2" s="317"/>
      <c r="O2" s="317"/>
      <c r="P2" s="318"/>
      <c r="Q2" s="314"/>
      <c r="R2" s="319"/>
      <c r="S2" s="318"/>
      <c r="T2" s="314"/>
      <c r="U2" s="319"/>
    </row>
    <row r="3" spans="1:21" s="325" customFormat="1" ht="15" customHeight="1" x14ac:dyDescent="0.2">
      <c r="A3" s="320" t="s">
        <v>78</v>
      </c>
      <c r="B3" s="321"/>
      <c r="C3" s="322"/>
      <c r="D3" s="321"/>
      <c r="E3" s="322"/>
      <c r="F3" s="323"/>
      <c r="G3" s="324"/>
      <c r="H3" s="322"/>
      <c r="I3" s="323"/>
      <c r="J3" s="324"/>
      <c r="K3" s="323"/>
      <c r="L3" s="320" t="s">
        <v>78</v>
      </c>
      <c r="M3" s="321"/>
      <c r="N3" s="321"/>
      <c r="O3" s="321"/>
      <c r="P3" s="322"/>
      <c r="Q3" s="323"/>
      <c r="R3" s="324"/>
      <c r="S3" s="322"/>
      <c r="T3" s="323"/>
      <c r="U3" s="324"/>
    </row>
    <row r="4" spans="1:21" ht="22.5" customHeight="1" x14ac:dyDescent="0.25">
      <c r="A4" s="326">
        <f>'Zápis-4hráči'!BR23</f>
        <v>0</v>
      </c>
      <c r="B4" s="676">
        <f>SUM(C4:D4)</f>
        <v>0</v>
      </c>
      <c r="C4" s="674">
        <f>'Zápis-4hráči'!CB23</f>
        <v>0</v>
      </c>
      <c r="D4" s="676">
        <f>'Zápis-4hráči'!CC23</f>
        <v>0</v>
      </c>
      <c r="E4" s="690" t="str">
        <f>'Zápis-4hráči'!CD23</f>
        <v/>
      </c>
      <c r="F4" s="684" t="s">
        <v>72</v>
      </c>
      <c r="G4" s="678" t="str">
        <f>'Zápis-4hráči'!CE23</f>
        <v/>
      </c>
      <c r="H4" s="692">
        <f>'Zápis-4hráči'!CF23</f>
        <v>0</v>
      </c>
      <c r="I4" s="684" t="s">
        <v>72</v>
      </c>
      <c r="J4" s="678">
        <f>'Zápis-4hráči'!CG23</f>
        <v>0</v>
      </c>
      <c r="K4" s="328"/>
      <c r="L4" s="326">
        <f>'Zápis-4hráči'!CW23</f>
        <v>0</v>
      </c>
      <c r="M4" s="682">
        <f>SUM(N4:O4)</f>
        <v>0</v>
      </c>
      <c r="N4" s="682">
        <f>'Zápis-4hráči'!CP23</f>
        <v>0</v>
      </c>
      <c r="O4" s="682">
        <f>'Zápis-4hráči'!CQ23</f>
        <v>0</v>
      </c>
      <c r="P4" s="694" t="str">
        <f>'Zápis-4hráči'!CR23</f>
        <v/>
      </c>
      <c r="Q4" s="684" t="s">
        <v>72</v>
      </c>
      <c r="R4" s="688" t="str">
        <f>'Zápis-4hráči'!CS23</f>
        <v/>
      </c>
      <c r="S4" s="686">
        <f>'Zápis-4hráči'!CT23</f>
        <v>0</v>
      </c>
      <c r="T4" s="680" t="s">
        <v>72</v>
      </c>
      <c r="U4" s="678">
        <f>'Zápis-4hráči'!CU23</f>
        <v>0</v>
      </c>
    </row>
    <row r="5" spans="1:21" s="333" customFormat="1" ht="22.5" customHeight="1" x14ac:dyDescent="0.2">
      <c r="A5" s="331">
        <f>'Zápis-4hráči'!BR24</f>
        <v>0</v>
      </c>
      <c r="B5" s="677"/>
      <c r="C5" s="675"/>
      <c r="D5" s="677"/>
      <c r="E5" s="691"/>
      <c r="F5" s="685"/>
      <c r="G5" s="679"/>
      <c r="H5" s="693"/>
      <c r="I5" s="685"/>
      <c r="J5" s="679"/>
      <c r="K5" s="332"/>
      <c r="L5" s="331">
        <f>'Zápis-4hráči'!CW24</f>
        <v>0</v>
      </c>
      <c r="M5" s="683"/>
      <c r="N5" s="683"/>
      <c r="O5" s="683"/>
      <c r="P5" s="695"/>
      <c r="Q5" s="685"/>
      <c r="R5" s="689"/>
      <c r="S5" s="687"/>
      <c r="T5" s="681"/>
      <c r="U5" s="679"/>
    </row>
    <row r="6" spans="1:21" ht="22.5" customHeight="1" x14ac:dyDescent="0.25">
      <c r="A6" s="326">
        <f>'Zápis-4hráči'!BR25</f>
        <v>0</v>
      </c>
      <c r="B6" s="676">
        <f>SUM(C6:D6)</f>
        <v>0</v>
      </c>
      <c r="C6" s="674">
        <f>'Zápis-4hráči'!CB26</f>
        <v>0</v>
      </c>
      <c r="D6" s="676">
        <f>'Zápis-4hráči'!CC26</f>
        <v>0</v>
      </c>
      <c r="E6" s="690" t="str">
        <f>'Zápis-4hráči'!CD26</f>
        <v/>
      </c>
      <c r="F6" s="684" t="s">
        <v>72</v>
      </c>
      <c r="G6" s="678" t="str">
        <f>'Zápis-4hráči'!CE26</f>
        <v/>
      </c>
      <c r="H6" s="692">
        <f>'Zápis-4hráči'!CF26</f>
        <v>0</v>
      </c>
      <c r="I6" s="684" t="s">
        <v>72</v>
      </c>
      <c r="J6" s="678">
        <f>'Zápis-4hráči'!CG26</f>
        <v>0</v>
      </c>
      <c r="K6" s="328"/>
      <c r="L6" s="326">
        <f>'Zápis-4hráči'!CW25</f>
        <v>0</v>
      </c>
      <c r="M6" s="682">
        <f>SUM(N6:O6)</f>
        <v>0</v>
      </c>
      <c r="N6" s="682">
        <f>'Zápis-4hráči'!CP26</f>
        <v>0</v>
      </c>
      <c r="O6" s="682">
        <f>'Zápis-4hráči'!CQ26</f>
        <v>0</v>
      </c>
      <c r="P6" s="694" t="str">
        <f>'Zápis-4hráči'!CR26</f>
        <v/>
      </c>
      <c r="Q6" s="684" t="s">
        <v>72</v>
      </c>
      <c r="R6" s="688" t="str">
        <f>'Zápis-4hráči'!CS26</f>
        <v/>
      </c>
      <c r="S6" s="686">
        <f>'Zápis-4hráči'!CT26</f>
        <v>0</v>
      </c>
      <c r="T6" s="680" t="s">
        <v>72</v>
      </c>
      <c r="U6" s="678">
        <f>'Zápis-4hráči'!CU26</f>
        <v>0</v>
      </c>
    </row>
    <row r="7" spans="1:21" s="333" customFormat="1" ht="22.5" customHeight="1" x14ac:dyDescent="0.2">
      <c r="A7" s="331">
        <f>'Zápis-4hráči'!BR26</f>
        <v>0</v>
      </c>
      <c r="B7" s="677"/>
      <c r="C7" s="675"/>
      <c r="D7" s="677"/>
      <c r="E7" s="691"/>
      <c r="F7" s="685"/>
      <c r="G7" s="679"/>
      <c r="H7" s="693"/>
      <c r="I7" s="685"/>
      <c r="J7" s="679"/>
      <c r="K7" s="332"/>
      <c r="L7" s="331">
        <f>'Zápis-4hráči'!CW26</f>
        <v>0</v>
      </c>
      <c r="M7" s="683"/>
      <c r="N7" s="683"/>
      <c r="O7" s="683"/>
      <c r="P7" s="695"/>
      <c r="Q7" s="685"/>
      <c r="R7" s="689"/>
      <c r="S7" s="687"/>
      <c r="T7" s="681"/>
      <c r="U7" s="679"/>
    </row>
    <row r="8" spans="1:21" s="342" customFormat="1" ht="6" customHeight="1" x14ac:dyDescent="0.2">
      <c r="A8" s="334"/>
      <c r="B8" s="329"/>
      <c r="C8" s="329"/>
      <c r="D8" s="329"/>
      <c r="E8" s="335"/>
      <c r="F8" s="327"/>
      <c r="G8" s="336"/>
      <c r="H8" s="337"/>
      <c r="I8" s="327"/>
      <c r="J8" s="336"/>
      <c r="K8" s="338"/>
      <c r="L8" s="334"/>
      <c r="M8" s="327"/>
      <c r="N8" s="327"/>
      <c r="O8" s="327"/>
      <c r="P8" s="339"/>
      <c r="Q8" s="327"/>
      <c r="R8" s="340"/>
      <c r="S8" s="341"/>
      <c r="T8" s="329"/>
      <c r="U8" s="336"/>
    </row>
    <row r="9" spans="1:21" s="352" customFormat="1" ht="15" customHeight="1" x14ac:dyDescent="0.2">
      <c r="A9" s="320" t="s">
        <v>77</v>
      </c>
      <c r="B9" s="343"/>
      <c r="C9" s="343"/>
      <c r="D9" s="343"/>
      <c r="E9" s="344"/>
      <c r="F9" s="345"/>
      <c r="G9" s="346"/>
      <c r="H9" s="347"/>
      <c r="I9" s="345"/>
      <c r="J9" s="346"/>
      <c r="K9" s="348"/>
      <c r="L9" s="320" t="s">
        <v>77</v>
      </c>
      <c r="M9" s="345"/>
      <c r="N9" s="345"/>
      <c r="O9" s="345"/>
      <c r="P9" s="349"/>
      <c r="Q9" s="345"/>
      <c r="R9" s="350"/>
      <c r="S9" s="351"/>
      <c r="T9" s="343"/>
      <c r="U9" s="346"/>
    </row>
    <row r="10" spans="1:21" s="342" customFormat="1" ht="22.5" customHeight="1" x14ac:dyDescent="0.2">
      <c r="A10" s="353">
        <f>'Zápis-4hráči'!BR27</f>
        <v>0</v>
      </c>
      <c r="B10" s="354">
        <f>SUM(C10:D10)</f>
        <v>0</v>
      </c>
      <c r="C10" s="355">
        <f>'Zápis-4hráči'!CB27</f>
        <v>0</v>
      </c>
      <c r="D10" s="354">
        <f>'Zápis-4hráči'!CC27</f>
        <v>0</v>
      </c>
      <c r="E10" s="356">
        <f>'Zápis-4hráči'!CD27</f>
        <v>0</v>
      </c>
      <c r="F10" s="357" t="s">
        <v>72</v>
      </c>
      <c r="G10" s="358">
        <f>'Zápis-4hráči'!CE27</f>
        <v>0</v>
      </c>
      <c r="H10" s="359">
        <f>'Zápis-4hráči'!CF27</f>
        <v>0</v>
      </c>
      <c r="I10" s="357" t="s">
        <v>72</v>
      </c>
      <c r="J10" s="358">
        <f>'Zápis-4hráči'!CG27</f>
        <v>0</v>
      </c>
      <c r="K10" s="338"/>
      <c r="L10" s="353">
        <f>'Zápis-4hráči'!CW27</f>
        <v>0</v>
      </c>
      <c r="M10" s="360">
        <f>SUM(N10:O10)</f>
        <v>0</v>
      </c>
      <c r="N10" s="360">
        <f>'Zápis-4hráči'!CP27</f>
        <v>0</v>
      </c>
      <c r="O10" s="360">
        <f>'Zápis-4hráči'!CQ27</f>
        <v>0</v>
      </c>
      <c r="P10" s="361">
        <f>'Zápis-4hráči'!CR27</f>
        <v>0</v>
      </c>
      <c r="Q10" s="357" t="s">
        <v>72</v>
      </c>
      <c r="R10" s="362">
        <f>'Zápis-4hráči'!CS27</f>
        <v>0</v>
      </c>
      <c r="S10" s="363">
        <f>'Zápis-4hráči'!CT27</f>
        <v>0</v>
      </c>
      <c r="T10" s="364" t="s">
        <v>72</v>
      </c>
      <c r="U10" s="358">
        <f>'Zápis-4hráči'!CU27</f>
        <v>0</v>
      </c>
    </row>
    <row r="11" spans="1:21" s="342" customFormat="1" ht="22.5" customHeight="1" x14ac:dyDescent="0.2">
      <c r="A11" s="353">
        <f>'Zápis-4hráči'!BR28</f>
        <v>0</v>
      </c>
      <c r="B11" s="354">
        <f>SUM(C11:D11)</f>
        <v>0</v>
      </c>
      <c r="C11" s="355">
        <f>'Zápis-4hráči'!CB28</f>
        <v>0</v>
      </c>
      <c r="D11" s="354">
        <f>'Zápis-4hráči'!CC28</f>
        <v>0</v>
      </c>
      <c r="E11" s="356">
        <f>'Zápis-4hráči'!CD28</f>
        <v>0</v>
      </c>
      <c r="F11" s="357" t="s">
        <v>72</v>
      </c>
      <c r="G11" s="358">
        <f>'Zápis-4hráči'!CE28</f>
        <v>0</v>
      </c>
      <c r="H11" s="359">
        <f>'Zápis-4hráči'!CF28</f>
        <v>0</v>
      </c>
      <c r="I11" s="357" t="s">
        <v>72</v>
      </c>
      <c r="J11" s="358">
        <f>'Zápis-4hráči'!CG28</f>
        <v>0</v>
      </c>
      <c r="K11" s="338"/>
      <c r="L11" s="353">
        <f>'Zápis-4hráči'!CW28</f>
        <v>0</v>
      </c>
      <c r="M11" s="360">
        <f>SUM(N11:O11)</f>
        <v>0</v>
      </c>
      <c r="N11" s="360">
        <f>'Zápis-4hráči'!CP28</f>
        <v>0</v>
      </c>
      <c r="O11" s="360">
        <f>'Zápis-4hráči'!CQ28</f>
        <v>0</v>
      </c>
      <c r="P11" s="361">
        <f>'Zápis-4hráči'!CR28</f>
        <v>0</v>
      </c>
      <c r="Q11" s="357" t="s">
        <v>72</v>
      </c>
      <c r="R11" s="362">
        <f>'Zápis-4hráči'!CS28</f>
        <v>0</v>
      </c>
      <c r="S11" s="363">
        <f>'Zápis-4hráči'!CT28</f>
        <v>0</v>
      </c>
      <c r="T11" s="364" t="s">
        <v>72</v>
      </c>
      <c r="U11" s="358">
        <f>'Zápis-4hráči'!CU28</f>
        <v>0</v>
      </c>
    </row>
    <row r="12" spans="1:21" s="342" customFormat="1" ht="22.5" customHeight="1" x14ac:dyDescent="0.2">
      <c r="A12" s="353">
        <f>'Zápis-4hráči'!BR29</f>
        <v>0</v>
      </c>
      <c r="B12" s="354">
        <f>SUM(C12:D12)</f>
        <v>0</v>
      </c>
      <c r="C12" s="355">
        <f>'Zápis-4hráči'!CB29</f>
        <v>0</v>
      </c>
      <c r="D12" s="354">
        <f>'Zápis-4hráči'!CC29</f>
        <v>0</v>
      </c>
      <c r="E12" s="356">
        <f>'Zápis-4hráči'!CD29</f>
        <v>0</v>
      </c>
      <c r="F12" s="357" t="s">
        <v>72</v>
      </c>
      <c r="G12" s="358">
        <f>'Zápis-4hráči'!CE29</f>
        <v>0</v>
      </c>
      <c r="H12" s="359">
        <f>'Zápis-4hráči'!CF29</f>
        <v>0</v>
      </c>
      <c r="I12" s="357" t="s">
        <v>72</v>
      </c>
      <c r="J12" s="358">
        <f>'Zápis-4hráči'!CG29</f>
        <v>0</v>
      </c>
      <c r="K12" s="338"/>
      <c r="L12" s="353">
        <f>'Zápis-4hráči'!CW29</f>
        <v>0</v>
      </c>
      <c r="M12" s="360">
        <f>SUM(N12:O12)</f>
        <v>0</v>
      </c>
      <c r="N12" s="360">
        <f>'Zápis-4hráči'!CP29</f>
        <v>0</v>
      </c>
      <c r="O12" s="360">
        <f>'Zápis-4hráči'!CQ29</f>
        <v>0</v>
      </c>
      <c r="P12" s="361">
        <f>'Zápis-4hráči'!CR29</f>
        <v>0</v>
      </c>
      <c r="Q12" s="357" t="s">
        <v>72</v>
      </c>
      <c r="R12" s="362">
        <f>'Zápis-4hráči'!CS29</f>
        <v>0</v>
      </c>
      <c r="S12" s="363">
        <f>'Zápis-4hráči'!CT29</f>
        <v>0</v>
      </c>
      <c r="T12" s="364" t="s">
        <v>72</v>
      </c>
      <c r="U12" s="358">
        <f>'Zápis-4hráči'!CU29</f>
        <v>0</v>
      </c>
    </row>
    <row r="13" spans="1:21" s="342" customFormat="1" ht="22.5" customHeight="1" x14ac:dyDescent="0.2">
      <c r="A13" s="353">
        <f>'Zápis-4hráči'!BR30</f>
        <v>0</v>
      </c>
      <c r="B13" s="354">
        <f>SUM(C13:D13)</f>
        <v>0</v>
      </c>
      <c r="C13" s="355">
        <f>'Zápis-4hráči'!CB30</f>
        <v>0</v>
      </c>
      <c r="D13" s="354">
        <f>'Zápis-4hráči'!CC30</f>
        <v>0</v>
      </c>
      <c r="E13" s="356">
        <f>'Zápis-4hráči'!CD30</f>
        <v>0</v>
      </c>
      <c r="F13" s="357" t="s">
        <v>72</v>
      </c>
      <c r="G13" s="358">
        <f>'Zápis-4hráči'!CE30</f>
        <v>0</v>
      </c>
      <c r="H13" s="359">
        <f>'Zápis-4hráči'!CF30</f>
        <v>0</v>
      </c>
      <c r="I13" s="357" t="s">
        <v>72</v>
      </c>
      <c r="J13" s="358">
        <f>'Zápis-4hráči'!CG30</f>
        <v>0</v>
      </c>
      <c r="K13" s="338"/>
      <c r="L13" s="353">
        <f>'Zápis-4hráči'!CW30</f>
        <v>0</v>
      </c>
      <c r="M13" s="360">
        <f>SUM(N13:O13)</f>
        <v>0</v>
      </c>
      <c r="N13" s="360">
        <f>'Zápis-4hráči'!CP30</f>
        <v>0</v>
      </c>
      <c r="O13" s="360">
        <f>'Zápis-4hráči'!CQ30</f>
        <v>0</v>
      </c>
      <c r="P13" s="361">
        <f>'Zápis-4hráči'!CR30</f>
        <v>0</v>
      </c>
      <c r="Q13" s="357" t="s">
        <v>72</v>
      </c>
      <c r="R13" s="362">
        <f>'Zápis-4hráči'!CS30</f>
        <v>0</v>
      </c>
      <c r="S13" s="363">
        <f>'Zápis-4hráči'!CT30</f>
        <v>0</v>
      </c>
      <c r="T13" s="364" t="s">
        <v>72</v>
      </c>
      <c r="U13" s="358">
        <f>'Zápis-4hráči'!CU30</f>
        <v>0</v>
      </c>
    </row>
    <row r="14" spans="1:21" s="342" customFormat="1" ht="6" customHeight="1" x14ac:dyDescent="0.2">
      <c r="A14" s="365"/>
      <c r="B14" s="329"/>
      <c r="C14" s="366"/>
      <c r="D14" s="366"/>
      <c r="E14" s="367"/>
      <c r="F14" s="366"/>
      <c r="G14" s="368"/>
      <c r="H14" s="369"/>
      <c r="I14" s="370"/>
      <c r="J14" s="368"/>
      <c r="K14" s="371"/>
      <c r="L14" s="365"/>
      <c r="M14" s="327"/>
      <c r="N14" s="372"/>
      <c r="O14" s="372"/>
      <c r="P14" s="373"/>
      <c r="Q14" s="372"/>
      <c r="R14" s="374"/>
      <c r="S14" s="375"/>
      <c r="T14" s="370"/>
      <c r="U14" s="376"/>
    </row>
    <row r="15" spans="1:21" s="352" customFormat="1" ht="15" customHeight="1" x14ac:dyDescent="0.2">
      <c r="A15" s="320" t="str">
        <f>IF(A16="","","střídající")</f>
        <v/>
      </c>
      <c r="B15" s="343"/>
      <c r="C15" s="377"/>
      <c r="D15" s="377"/>
      <c r="E15" s="378"/>
      <c r="F15" s="377"/>
      <c r="G15" s="379"/>
      <c r="H15" s="380"/>
      <c r="I15" s="378"/>
      <c r="J15" s="379"/>
      <c r="K15" s="381"/>
      <c r="L15" s="320" t="str">
        <f>IF(L16="","","střídající")</f>
        <v/>
      </c>
      <c r="M15" s="345"/>
      <c r="N15" s="377"/>
      <c r="O15" s="377"/>
      <c r="P15" s="380"/>
      <c r="Q15" s="377"/>
      <c r="R15" s="379"/>
      <c r="S15" s="378"/>
      <c r="T15" s="377"/>
      <c r="U15" s="379"/>
    </row>
    <row r="16" spans="1:21" s="382" customFormat="1" ht="22.5" customHeight="1" x14ac:dyDescent="0.2">
      <c r="A16" s="353" t="str">
        <f>IF('Zápis-4hráči'!BS42="s",'Zápis-4hráči'!BR42,IF('Zápis-4hráči'!BS41="s",'Zápis-4hráči'!BR41,IF('Zápis-4hráči'!BS40="s",'Zápis-4hráči'!BR40,IF('Zápis-4hráči'!BS39="s",'Zápis-4hráči'!BR39,""))))</f>
        <v/>
      </c>
      <c r="B16" s="354" t="str">
        <f>IF(A16="","",SUM(C16:D16))</f>
        <v/>
      </c>
      <c r="C16" s="355" t="str">
        <f>IF('Zápis-4hráči'!BS42="s",'Zápis-4hráči'!CB34,IF('Zápis-4hráči'!BS41="s",'Zápis-4hráči'!CB33,IF('Zápis-4hráči'!BS40="s",'Zápis-4hráči'!CB32,IF('Zápis-4hráči'!BS39="s",'Zápis-4hráči'!CB35,""))))</f>
        <v/>
      </c>
      <c r="D16" s="354" t="str">
        <f>IF('Zápis-4hráči'!BS42="s",'Zápis-4hráči'!CC34,IF('Zápis-4hráči'!BS41="s",'Zápis-4hráči'!CC33,IF('Zápis-4hráči'!BS40="s",'Zápis-4hráči'!CC32,IF('Zápis-4hráči'!BS39="s",'Zápis-4hráči'!CC35,""))))</f>
        <v/>
      </c>
      <c r="E16" s="356" t="str">
        <f>IF('Zápis-4hráči'!BS42="s",'Zápis-4hráči'!CD34,IF('Zápis-4hráči'!BS41="s",'Zápis-4hráči'!CD33,IF('Zápis-4hráči'!BS40="s",'Zápis-4hráči'!CD32,IF('Zápis-4hráči'!BS39="s",'Zápis-4hráči'!CD35,""))))</f>
        <v/>
      </c>
      <c r="F16" s="364" t="str">
        <f>IF(E16="","",":")</f>
        <v/>
      </c>
      <c r="G16" s="358" t="str">
        <f>IF('Zápis-4hráči'!BS42="s",'Zápis-4hráči'!CE34,IF('Zápis-4hráči'!BS41="s",'Zápis-4hráči'!CE33,IF('Zápis-4hráči'!BS40="s",'Zápis-4hráči'!CE32,IF('Zápis-4hráči'!BS39="s",'Zápis-4hráči'!CE35,""))))</f>
        <v/>
      </c>
      <c r="H16" s="359" t="str">
        <f>IF('Zápis-4hráči'!BS42="s",'Zápis-4hráči'!CF34,IF('Zápis-4hráči'!BS41="s",'Zápis-4hráči'!CF33,IF('Zápis-4hráči'!BS40="s",'Zápis-4hráči'!CF32,IF('Zápis-4hráči'!BS39="s",'Zápis-4hráči'!CF35,""))))</f>
        <v/>
      </c>
      <c r="I16" s="364" t="str">
        <f>IF(H16="","",":")</f>
        <v/>
      </c>
      <c r="J16" s="358" t="str">
        <f>IF('Zápis-4hráči'!BS42="s",'Zápis-4hráči'!CG34,IF('Zápis-4hráči'!BS41="s",'Zápis-4hráči'!CG33,IF('Zápis-4hráči'!BS40="s",'Zápis-4hráči'!CG32,IF('Zápis-4hráči'!BS39="s",'Zápis-4hráči'!CG35,""))))</f>
        <v/>
      </c>
      <c r="K16" s="338"/>
      <c r="L16" s="353" t="str">
        <f>IF('Zápis-4hráči'!CV42="s",'Zápis-4hráči'!CW42,IF('Zápis-4hráči'!CV41="s",'Zápis-4hráči'!CW41,IF('Zápis-4hráči'!CV40="s",'Zápis-4hráči'!CW40,IF('Zápis-4hráči'!CV39="s",'Zápis-4hráči'!CW39,""))))</f>
        <v/>
      </c>
      <c r="M16" s="360" t="str">
        <f>IF(L16="","",SUM(N16:O16))</f>
        <v/>
      </c>
      <c r="N16" s="354" t="str">
        <f>IF('Zápis-4hráči'!CV42="s",'Zápis-4hráči'!CP35,IF('Zápis-4hráči'!CV41="s",'Zápis-4hráči'!CP34,IF('Zápis-4hráči'!CV40="s",'Zápis-4hráči'!CP33,IF('Zápis-4hráči'!CV39="s",'Zápis-4hráči'!CP32,""))))</f>
        <v/>
      </c>
      <c r="O16" s="354" t="str">
        <f>IF('Zápis-4hráči'!CV42="s",'Zápis-4hráči'!CQ35,IF('Zápis-4hráči'!CV41="s",'Zápis-4hráči'!CQ34,IF('Zápis-4hráči'!CV40="s",'Zápis-4hráči'!CQ33,IF('Zápis-4hráči'!CV39="s",'Zápis-4hráči'!CQ32,""))))</f>
        <v/>
      </c>
      <c r="P16" s="359" t="str">
        <f>IF('Zápis-4hráči'!CV42="s",'Zápis-4hráči'!CR35,IF('Zápis-4hráči'!CV41="s",'Zápis-4hráči'!CR34,IF('Zápis-4hráči'!CV40="s",'Zápis-4hráči'!CR33,IF('Zápis-4hráči'!CV39="s",'Zápis-4hráči'!CR32,""))))</f>
        <v/>
      </c>
      <c r="Q16" s="364" t="str">
        <f>IF(P16="","",":")</f>
        <v/>
      </c>
      <c r="R16" s="358" t="str">
        <f>IF('Zápis-4hráči'!CV42="s",'Zápis-4hráči'!CS35,IF('Zápis-4hráči'!CV41="s",'Zápis-4hráči'!CS34,IF('Zápis-4hráči'!CV40="s",'Zápis-4hráči'!CS33,IF('Zápis-4hráči'!CV39="s",'Zápis-4hráči'!CS32,""))))</f>
        <v/>
      </c>
      <c r="S16" s="356" t="str">
        <f>IF('Zápis-4hráči'!CV42="s",'Zápis-4hráči'!CT35,IF('Zápis-4hráči'!CV41="s",'Zápis-4hráči'!CT34,IF('Zápis-4hráči'!CV40="s",'Zápis-4hráči'!CT33,IF('Zápis-4hráči'!CV39="s",'Zápis-4hráči'!CT32,""))))</f>
        <v/>
      </c>
      <c r="T16" s="364" t="str">
        <f>IF(S16="","",":")</f>
        <v/>
      </c>
      <c r="U16" s="358" t="str">
        <f>IF('Zápis-4hráči'!CV42="s",'Zápis-4hráči'!CU35,IF('Zápis-4hráči'!CV41="s",'Zápis-4hráči'!CU34,IF('Zápis-4hráči'!CV40="s",'Zápis-4hráči'!CU33,IF('Zápis-4hráči'!CV39="s",'Zápis-4hráči'!CU32,""))))</f>
        <v/>
      </c>
    </row>
    <row r="17" spans="1:21" s="382" customFormat="1" ht="15" customHeight="1" x14ac:dyDescent="0.2">
      <c r="A17" s="338"/>
      <c r="B17" s="383"/>
      <c r="C17" s="383"/>
      <c r="D17" s="383"/>
      <c r="E17" s="384"/>
      <c r="F17" s="383"/>
      <c r="G17" s="338"/>
      <c r="I17" s="383"/>
      <c r="J17" s="338"/>
      <c r="K17" s="338"/>
      <c r="L17" s="338"/>
      <c r="M17" s="385"/>
      <c r="N17" s="383"/>
      <c r="O17" s="383"/>
      <c r="R17" s="338"/>
      <c r="S17" s="384"/>
      <c r="U17" s="338"/>
    </row>
    <row r="18" spans="1:21" s="390" customFormat="1" ht="21" customHeight="1" x14ac:dyDescent="0.2">
      <c r="A18" s="386" t="s">
        <v>76</v>
      </c>
      <c r="B18" s="387"/>
      <c r="C18" s="387">
        <f>SUM(C4:C16)</f>
        <v>0</v>
      </c>
      <c r="D18" s="387">
        <f>SUM(D4:D16)</f>
        <v>0</v>
      </c>
      <c r="E18" s="388">
        <f>SUM(E4:E16)</f>
        <v>0</v>
      </c>
      <c r="F18" s="387" t="s">
        <v>72</v>
      </c>
      <c r="G18" s="386">
        <f>SUM(G4:G16)</f>
        <v>0</v>
      </c>
      <c r="H18" s="389">
        <f>SUM(H4:H16)</f>
        <v>0</v>
      </c>
      <c r="I18" s="387" t="s">
        <v>72</v>
      </c>
      <c r="J18" s="386">
        <f>SUM(J4:J16)</f>
        <v>0</v>
      </c>
      <c r="K18" s="387"/>
      <c r="L18" s="386" t="s">
        <v>76</v>
      </c>
      <c r="M18" s="387"/>
      <c r="N18" s="387">
        <f>SUM(N4:N16)</f>
        <v>0</v>
      </c>
      <c r="O18" s="387">
        <f>SUM(O4:O16)</f>
        <v>0</v>
      </c>
      <c r="P18" s="389">
        <f>SUM(P4:P16)</f>
        <v>0</v>
      </c>
      <c r="Q18" s="387" t="s">
        <v>72</v>
      </c>
      <c r="R18" s="386">
        <f>SUM(R4:R16)</f>
        <v>0</v>
      </c>
      <c r="S18" s="388">
        <f>SUM(S4:S16)</f>
        <v>0</v>
      </c>
      <c r="T18" s="387" t="s">
        <v>72</v>
      </c>
      <c r="U18" s="386">
        <f>SUM(U4:U16)</f>
        <v>0</v>
      </c>
    </row>
    <row r="19" spans="1:21" s="342" customFormat="1" ht="15" customHeight="1" x14ac:dyDescent="0.2">
      <c r="A19" s="391"/>
      <c r="B19" s="392"/>
      <c r="C19" s="392"/>
      <c r="D19" s="392"/>
      <c r="E19" s="392"/>
      <c r="F19" s="392"/>
      <c r="G19" s="393"/>
      <c r="H19" s="394"/>
      <c r="I19" s="394"/>
      <c r="J19" s="393"/>
      <c r="K19" s="393"/>
      <c r="L19" s="393"/>
      <c r="M19" s="393"/>
      <c r="N19" s="394"/>
      <c r="O19" s="394"/>
      <c r="P19" s="395"/>
      <c r="Q19" s="394"/>
      <c r="R19" s="393"/>
      <c r="S19" s="395"/>
      <c r="T19" s="394"/>
      <c r="U19" s="393"/>
    </row>
    <row r="20" spans="1:21" s="342" customFormat="1" ht="15" customHeight="1" x14ac:dyDescent="0.2">
      <c r="A20" s="391"/>
      <c r="B20" s="392"/>
      <c r="C20" s="392"/>
      <c r="D20" s="392"/>
      <c r="E20" s="392"/>
      <c r="F20" s="392"/>
      <c r="G20" s="393"/>
      <c r="H20" s="394"/>
      <c r="I20" s="394"/>
      <c r="J20" s="393"/>
      <c r="K20" s="393"/>
      <c r="L20" s="393"/>
      <c r="M20" s="393"/>
      <c r="N20" s="394"/>
      <c r="O20" s="394"/>
      <c r="P20" s="395"/>
      <c r="Q20" s="394"/>
      <c r="R20" s="393"/>
      <c r="S20" s="395"/>
      <c r="T20" s="394"/>
      <c r="U20" s="393"/>
    </row>
    <row r="21" spans="1:21" s="342" customFormat="1" ht="15" customHeight="1" x14ac:dyDescent="0.2">
      <c r="A21" s="393"/>
      <c r="B21" s="394"/>
      <c r="C21" s="394"/>
      <c r="D21" s="394"/>
      <c r="E21" s="394"/>
      <c r="F21" s="394"/>
      <c r="G21" s="396"/>
      <c r="H21" s="394"/>
      <c r="I21" s="394"/>
      <c r="J21" s="393"/>
      <c r="K21" s="393"/>
      <c r="L21" s="393"/>
      <c r="M21" s="393"/>
      <c r="N21" s="394"/>
      <c r="O21" s="394"/>
      <c r="P21" s="395"/>
      <c r="Q21" s="394"/>
      <c r="R21" s="393"/>
      <c r="S21" s="395"/>
      <c r="T21" s="394"/>
      <c r="U21" s="393"/>
    </row>
    <row r="22" spans="1:21" s="342" customFormat="1" ht="15" customHeight="1" x14ac:dyDescent="0.2">
      <c r="A22" s="393"/>
      <c r="B22" s="394"/>
      <c r="C22" s="394"/>
      <c r="D22" s="394"/>
      <c r="E22" s="394"/>
      <c r="F22" s="394"/>
      <c r="G22" s="393"/>
      <c r="H22" s="394"/>
      <c r="I22" s="394"/>
      <c r="J22" s="393"/>
      <c r="K22" s="393"/>
      <c r="L22" s="393"/>
      <c r="M22" s="393"/>
      <c r="N22" s="394"/>
      <c r="O22" s="394"/>
      <c r="P22" s="395"/>
      <c r="Q22" s="394"/>
      <c r="R22" s="393"/>
      <c r="S22" s="395"/>
      <c r="T22" s="394"/>
      <c r="U22" s="393"/>
    </row>
    <row r="23" spans="1:21" s="342" customFormat="1" ht="15" customHeight="1" x14ac:dyDescent="0.2">
      <c r="A23" s="393"/>
      <c r="B23" s="394"/>
      <c r="C23" s="394"/>
      <c r="D23" s="394"/>
      <c r="E23" s="394"/>
      <c r="F23" s="394"/>
      <c r="G23" s="396"/>
      <c r="H23" s="394"/>
      <c r="I23" s="394"/>
      <c r="J23" s="393"/>
      <c r="K23" s="393"/>
      <c r="L23" s="396"/>
      <c r="M23" s="393"/>
      <c r="N23" s="394"/>
      <c r="O23" s="394"/>
      <c r="P23" s="395"/>
      <c r="Q23" s="394"/>
      <c r="R23" s="393"/>
      <c r="S23" s="395"/>
      <c r="T23" s="394"/>
      <c r="U23" s="393"/>
    </row>
    <row r="24" spans="1:21" s="342" customFormat="1" ht="15" customHeight="1" x14ac:dyDescent="0.2">
      <c r="A24" s="393"/>
      <c r="B24" s="394"/>
      <c r="C24" s="394"/>
      <c r="D24" s="394"/>
      <c r="E24" s="394"/>
      <c r="F24" s="394"/>
      <c r="G24" s="393"/>
      <c r="H24" s="394"/>
      <c r="I24" s="394"/>
      <c r="J24" s="393"/>
      <c r="K24" s="393"/>
      <c r="L24" s="393"/>
      <c r="M24" s="393"/>
      <c r="N24" s="394"/>
      <c r="O24" s="394"/>
      <c r="P24" s="395"/>
      <c r="Q24" s="394"/>
      <c r="R24" s="393"/>
      <c r="S24" s="395"/>
      <c r="T24" s="394"/>
      <c r="U24" s="393"/>
    </row>
    <row r="25" spans="1:21" s="400" customFormat="1" ht="15" customHeight="1" x14ac:dyDescent="0.2">
      <c r="A25" s="393"/>
      <c r="B25" s="394"/>
      <c r="C25" s="394"/>
      <c r="D25" s="394"/>
      <c r="E25" s="394"/>
      <c r="F25" s="394"/>
      <c r="G25" s="397"/>
      <c r="H25" s="398"/>
      <c r="I25" s="398"/>
      <c r="J25" s="399"/>
      <c r="K25" s="399"/>
      <c r="L25" s="397"/>
      <c r="M25" s="386"/>
      <c r="N25" s="387"/>
      <c r="O25" s="387"/>
      <c r="P25" s="388"/>
      <c r="Q25" s="386"/>
      <c r="R25" s="397"/>
      <c r="S25" s="388"/>
      <c r="T25" s="388"/>
      <c r="U25" s="386"/>
    </row>
    <row r="26" spans="1:21" s="342" customFormat="1" ht="15" customHeight="1" x14ac:dyDescent="0.2">
      <c r="A26" s="393"/>
      <c r="B26" s="394"/>
      <c r="C26" s="394"/>
      <c r="D26" s="394"/>
      <c r="E26" s="394"/>
      <c r="F26" s="394"/>
      <c r="G26" s="397"/>
      <c r="H26" s="398"/>
      <c r="I26" s="398"/>
      <c r="J26" s="399"/>
      <c r="K26" s="399"/>
      <c r="L26" s="397"/>
      <c r="M26" s="386"/>
      <c r="N26" s="387"/>
      <c r="O26" s="387"/>
      <c r="P26" s="388"/>
      <c r="Q26" s="386"/>
      <c r="R26" s="397"/>
      <c r="S26" s="388"/>
      <c r="T26" s="388"/>
      <c r="U26" s="386"/>
    </row>
    <row r="27" spans="1:21" s="342" customFormat="1" ht="15" customHeight="1" x14ac:dyDescent="0.2">
      <c r="A27" s="401"/>
      <c r="B27" s="402"/>
      <c r="C27" s="402"/>
      <c r="D27" s="402"/>
      <c r="G27" s="401"/>
      <c r="J27" s="401"/>
      <c r="K27" s="401"/>
      <c r="L27" s="401"/>
      <c r="M27" s="401"/>
      <c r="N27" s="402"/>
      <c r="O27" s="402"/>
      <c r="P27" s="403"/>
      <c r="R27" s="401"/>
      <c r="S27" s="403"/>
      <c r="U27" s="401"/>
    </row>
    <row r="28" spans="1:21" s="342" customFormat="1" ht="15" customHeight="1" x14ac:dyDescent="0.2">
      <c r="A28" s="401"/>
      <c r="B28" s="402"/>
      <c r="C28" s="402"/>
      <c r="D28" s="402"/>
      <c r="E28" s="402"/>
      <c r="F28" s="402"/>
      <c r="G28" s="401"/>
      <c r="H28" s="402"/>
      <c r="I28" s="402"/>
      <c r="J28" s="401"/>
      <c r="K28" s="401"/>
      <c r="L28" s="401"/>
      <c r="M28" s="401"/>
      <c r="N28" s="402"/>
      <c r="O28" s="402"/>
      <c r="P28" s="403"/>
      <c r="Q28" s="402"/>
      <c r="R28" s="401"/>
      <c r="S28" s="403"/>
      <c r="T28" s="402"/>
      <c r="U28" s="401"/>
    </row>
    <row r="29" spans="1:21" s="342" customFormat="1" ht="15" customHeight="1" x14ac:dyDescent="0.2">
      <c r="A29" s="401"/>
      <c r="B29" s="402"/>
      <c r="C29" s="402"/>
      <c r="D29" s="402"/>
      <c r="E29" s="402"/>
      <c r="F29" s="402"/>
      <c r="G29" s="401"/>
      <c r="H29" s="402"/>
      <c r="I29" s="402"/>
      <c r="J29" s="401"/>
      <c r="K29" s="401"/>
      <c r="L29" s="401"/>
      <c r="M29" s="401"/>
      <c r="N29" s="402"/>
      <c r="O29" s="402"/>
      <c r="P29" s="403"/>
      <c r="Q29" s="402"/>
      <c r="R29" s="401"/>
      <c r="S29" s="403"/>
      <c r="T29" s="402"/>
      <c r="U29" s="401"/>
    </row>
    <row r="30" spans="1:21" s="342" customFormat="1" ht="15" customHeight="1" x14ac:dyDescent="0.2">
      <c r="A30" s="401"/>
      <c r="B30" s="402"/>
      <c r="C30" s="402"/>
      <c r="D30" s="402"/>
      <c r="E30" s="401"/>
      <c r="F30" s="401"/>
      <c r="G30" s="401"/>
      <c r="H30" s="401"/>
      <c r="I30" s="401"/>
      <c r="J30" s="401"/>
      <c r="K30" s="401"/>
      <c r="L30" s="401"/>
      <c r="M30" s="401"/>
      <c r="N30" s="402"/>
      <c r="O30" s="402"/>
      <c r="P30" s="403"/>
      <c r="Q30" s="401"/>
      <c r="R30" s="401"/>
      <c r="S30" s="403"/>
      <c r="T30" s="401"/>
      <c r="U30" s="401"/>
    </row>
    <row r="31" spans="1:21" s="342" customFormat="1" ht="15" customHeight="1" x14ac:dyDescent="0.2">
      <c r="A31" s="401"/>
      <c r="B31" s="402"/>
      <c r="C31" s="402"/>
      <c r="D31" s="402"/>
      <c r="E31" s="401"/>
      <c r="F31" s="401"/>
      <c r="G31" s="401"/>
      <c r="H31" s="401"/>
      <c r="I31" s="401"/>
      <c r="J31" s="401"/>
      <c r="K31" s="401"/>
      <c r="L31" s="401"/>
      <c r="M31" s="401"/>
      <c r="N31" s="402"/>
      <c r="O31" s="402"/>
      <c r="P31" s="403"/>
      <c r="Q31" s="401"/>
      <c r="R31" s="401"/>
      <c r="S31" s="403"/>
      <c r="T31" s="401"/>
      <c r="U31" s="401"/>
    </row>
    <row r="32" spans="1:21" s="342" customFormat="1" ht="15" customHeight="1" x14ac:dyDescent="0.2">
      <c r="A32" s="401"/>
      <c r="B32" s="402"/>
      <c r="C32" s="402"/>
      <c r="D32" s="402"/>
      <c r="E32" s="401"/>
      <c r="F32" s="401"/>
      <c r="G32" s="401"/>
      <c r="H32" s="401"/>
      <c r="I32" s="401"/>
      <c r="J32" s="401"/>
      <c r="K32" s="401"/>
      <c r="L32" s="401"/>
      <c r="M32" s="401"/>
      <c r="N32" s="402"/>
      <c r="O32" s="402"/>
      <c r="P32" s="403"/>
      <c r="Q32" s="401"/>
      <c r="R32" s="401"/>
      <c r="S32" s="403"/>
      <c r="T32" s="401"/>
      <c r="U32" s="401"/>
    </row>
    <row r="33" spans="1:21" s="342" customFormat="1" ht="15" customHeight="1" x14ac:dyDescent="0.2">
      <c r="A33" s="401"/>
      <c r="B33" s="402"/>
      <c r="C33" s="402"/>
      <c r="D33" s="402"/>
      <c r="E33" s="401"/>
      <c r="F33" s="401"/>
      <c r="G33" s="401"/>
      <c r="H33" s="401"/>
      <c r="I33" s="401"/>
      <c r="J33" s="401"/>
      <c r="K33" s="401"/>
      <c r="L33" s="401"/>
      <c r="M33" s="401"/>
      <c r="N33" s="402"/>
      <c r="O33" s="402"/>
      <c r="P33" s="403"/>
      <c r="Q33" s="401"/>
      <c r="R33" s="401"/>
      <c r="S33" s="403"/>
      <c r="T33" s="401"/>
      <c r="U33" s="401"/>
    </row>
    <row r="34" spans="1:21" s="342" customFormat="1" ht="15" customHeight="1" x14ac:dyDescent="0.2">
      <c r="A34" s="401"/>
      <c r="B34" s="402"/>
      <c r="C34" s="402"/>
      <c r="D34" s="402"/>
      <c r="E34" s="401"/>
      <c r="F34" s="401"/>
      <c r="G34" s="401"/>
      <c r="H34" s="401"/>
      <c r="I34" s="401"/>
      <c r="J34" s="401"/>
      <c r="K34" s="401"/>
      <c r="L34" s="401"/>
      <c r="M34" s="401"/>
      <c r="N34" s="402"/>
      <c r="O34" s="402"/>
      <c r="P34" s="403"/>
      <c r="Q34" s="401"/>
      <c r="R34" s="401"/>
      <c r="S34" s="403"/>
      <c r="T34" s="401"/>
      <c r="U34" s="401"/>
    </row>
    <row r="35" spans="1:21" s="342" customFormat="1" ht="15" customHeight="1" x14ac:dyDescent="0.2">
      <c r="A35" s="401"/>
      <c r="B35" s="402"/>
      <c r="C35" s="402"/>
      <c r="D35" s="402"/>
      <c r="E35" s="401"/>
      <c r="F35" s="401"/>
      <c r="G35" s="401"/>
      <c r="H35" s="401"/>
      <c r="I35" s="401"/>
      <c r="J35" s="401"/>
      <c r="K35" s="401"/>
      <c r="L35" s="401"/>
      <c r="M35" s="401"/>
      <c r="N35" s="402"/>
      <c r="O35" s="402"/>
      <c r="P35" s="403"/>
      <c r="Q35" s="401"/>
      <c r="R35" s="401"/>
      <c r="S35" s="403"/>
      <c r="T35" s="401"/>
      <c r="U35" s="401"/>
    </row>
    <row r="36" spans="1:21" s="342" customFormat="1" ht="15" customHeight="1" x14ac:dyDescent="0.2">
      <c r="A36" s="401"/>
      <c r="B36" s="402"/>
      <c r="C36" s="402"/>
      <c r="D36" s="402"/>
      <c r="E36" s="401"/>
      <c r="F36" s="401"/>
      <c r="G36" s="401"/>
      <c r="H36" s="401"/>
      <c r="I36" s="401"/>
      <c r="J36" s="401"/>
      <c r="K36" s="401"/>
      <c r="L36" s="401"/>
      <c r="M36" s="401"/>
      <c r="N36" s="402"/>
      <c r="O36" s="402"/>
      <c r="P36" s="403"/>
      <c r="Q36" s="401"/>
      <c r="R36" s="401"/>
      <c r="S36" s="403"/>
      <c r="T36" s="401"/>
      <c r="U36" s="401"/>
    </row>
    <row r="37" spans="1:21" s="342" customFormat="1" ht="15" customHeight="1" x14ac:dyDescent="0.2">
      <c r="A37" s="401"/>
      <c r="B37" s="402"/>
      <c r="C37" s="402"/>
      <c r="D37" s="402"/>
      <c r="E37" s="401"/>
      <c r="F37" s="401"/>
      <c r="G37" s="401"/>
      <c r="H37" s="401"/>
      <c r="I37" s="401"/>
      <c r="J37" s="401"/>
      <c r="K37" s="401"/>
      <c r="L37" s="401"/>
      <c r="M37" s="401"/>
      <c r="N37" s="402"/>
      <c r="O37" s="402"/>
      <c r="P37" s="403"/>
      <c r="Q37" s="401"/>
      <c r="R37" s="401"/>
      <c r="S37" s="403"/>
      <c r="T37" s="401"/>
      <c r="U37" s="401"/>
    </row>
    <row r="38" spans="1:21" s="342" customFormat="1" ht="18.75" customHeight="1" x14ac:dyDescent="0.2">
      <c r="A38" s="401"/>
      <c r="B38" s="402"/>
      <c r="C38" s="402"/>
      <c r="D38" s="402"/>
      <c r="E38" s="401"/>
      <c r="F38" s="401"/>
      <c r="G38" s="401"/>
      <c r="H38" s="401"/>
      <c r="I38" s="401"/>
      <c r="J38" s="401"/>
      <c r="K38" s="401"/>
      <c r="L38" s="401"/>
      <c r="M38" s="401"/>
      <c r="N38" s="402"/>
      <c r="O38" s="402"/>
      <c r="P38" s="403"/>
      <c r="Q38" s="401"/>
      <c r="R38" s="401"/>
      <c r="S38" s="403"/>
      <c r="T38" s="401"/>
      <c r="U38" s="401"/>
    </row>
    <row r="39" spans="1:21" s="342" customFormat="1" ht="18.75" customHeight="1" x14ac:dyDescent="0.2">
      <c r="A39" s="401"/>
      <c r="B39" s="402"/>
      <c r="C39" s="402"/>
      <c r="D39" s="402"/>
      <c r="E39" s="401"/>
      <c r="F39" s="401"/>
      <c r="G39" s="401"/>
      <c r="H39" s="401"/>
      <c r="I39" s="401"/>
      <c r="J39" s="401"/>
      <c r="K39" s="401"/>
      <c r="L39" s="401"/>
      <c r="M39" s="401"/>
      <c r="N39" s="402"/>
      <c r="O39" s="402"/>
      <c r="P39" s="403"/>
      <c r="Q39" s="401"/>
      <c r="R39" s="401"/>
      <c r="S39" s="403"/>
      <c r="T39" s="401"/>
      <c r="U39" s="401"/>
    </row>
    <row r="40" spans="1:21" s="342" customFormat="1" ht="18.75" customHeight="1" x14ac:dyDescent="0.2">
      <c r="A40" s="401"/>
      <c r="B40" s="402"/>
      <c r="C40" s="402"/>
      <c r="D40" s="402"/>
      <c r="E40" s="401"/>
      <c r="F40" s="401"/>
      <c r="G40" s="401"/>
      <c r="H40" s="401"/>
      <c r="I40" s="401"/>
      <c r="J40" s="401"/>
      <c r="K40" s="401"/>
      <c r="L40" s="401"/>
      <c r="M40" s="401"/>
      <c r="N40" s="402"/>
      <c r="O40" s="402"/>
      <c r="P40" s="403"/>
      <c r="Q40" s="401"/>
      <c r="R40" s="401"/>
      <c r="S40" s="403"/>
      <c r="T40" s="401"/>
      <c r="U40" s="401"/>
    </row>
    <row r="41" spans="1:21" s="342" customFormat="1" ht="18.75" customHeight="1" x14ac:dyDescent="0.2">
      <c r="A41" s="401"/>
      <c r="B41" s="402"/>
      <c r="C41" s="402"/>
      <c r="D41" s="402"/>
      <c r="E41" s="401"/>
      <c r="F41" s="401"/>
      <c r="G41" s="401"/>
      <c r="H41" s="401"/>
      <c r="I41" s="401"/>
      <c r="J41" s="401"/>
      <c r="K41" s="401"/>
      <c r="L41" s="401"/>
      <c r="M41" s="401"/>
      <c r="N41" s="402"/>
      <c r="O41" s="402"/>
      <c r="P41" s="403"/>
      <c r="Q41" s="401"/>
      <c r="R41" s="401"/>
      <c r="S41" s="403"/>
      <c r="T41" s="401"/>
      <c r="U41" s="401"/>
    </row>
    <row r="42" spans="1:21" s="342" customFormat="1" ht="18.75" customHeight="1" x14ac:dyDescent="0.2">
      <c r="A42" s="401"/>
      <c r="B42" s="402"/>
      <c r="C42" s="402"/>
      <c r="D42" s="402"/>
      <c r="E42" s="401"/>
      <c r="F42" s="401"/>
      <c r="G42" s="401"/>
      <c r="H42" s="401"/>
      <c r="I42" s="401"/>
      <c r="J42" s="401"/>
      <c r="K42" s="401"/>
      <c r="L42" s="401"/>
      <c r="M42" s="401"/>
      <c r="N42" s="402"/>
      <c r="O42" s="402"/>
      <c r="P42" s="403"/>
      <c r="Q42" s="401"/>
      <c r="R42" s="401"/>
      <c r="S42" s="403"/>
      <c r="T42" s="401"/>
      <c r="U42" s="401"/>
    </row>
    <row r="43" spans="1:21" s="342" customFormat="1" ht="18.75" customHeight="1" x14ac:dyDescent="0.2">
      <c r="A43" s="401"/>
      <c r="B43" s="402"/>
      <c r="C43" s="402"/>
      <c r="D43" s="402"/>
      <c r="E43" s="401"/>
      <c r="F43" s="401"/>
      <c r="G43" s="401"/>
      <c r="H43" s="401"/>
      <c r="I43" s="401"/>
      <c r="J43" s="401"/>
      <c r="K43" s="401"/>
      <c r="L43" s="401"/>
      <c r="M43" s="401"/>
      <c r="N43" s="402"/>
      <c r="O43" s="402"/>
      <c r="P43" s="403"/>
      <c r="Q43" s="401"/>
      <c r="R43" s="401"/>
      <c r="S43" s="403"/>
      <c r="T43" s="401"/>
      <c r="U43" s="401"/>
    </row>
    <row r="44" spans="1:21" s="342" customFormat="1" ht="18.75" customHeight="1" x14ac:dyDescent="0.2">
      <c r="A44" s="401"/>
      <c r="B44" s="402"/>
      <c r="C44" s="402"/>
      <c r="D44" s="402"/>
      <c r="E44" s="401"/>
      <c r="F44" s="401"/>
      <c r="G44" s="401"/>
      <c r="H44" s="401"/>
      <c r="I44" s="401"/>
      <c r="J44" s="401"/>
      <c r="K44" s="401"/>
      <c r="L44" s="401"/>
      <c r="M44" s="401"/>
      <c r="N44" s="402"/>
      <c r="O44" s="402"/>
      <c r="P44" s="403"/>
      <c r="Q44" s="401"/>
      <c r="R44" s="401"/>
      <c r="S44" s="403"/>
      <c r="T44" s="401"/>
      <c r="U44" s="401"/>
    </row>
    <row r="45" spans="1:21" s="342" customFormat="1" ht="18.75" customHeight="1" x14ac:dyDescent="0.2">
      <c r="A45" s="401"/>
      <c r="B45" s="402"/>
      <c r="C45" s="402"/>
      <c r="D45" s="402"/>
      <c r="E45" s="401"/>
      <c r="F45" s="401"/>
      <c r="G45" s="401"/>
      <c r="H45" s="401"/>
      <c r="I45" s="401"/>
      <c r="J45" s="401"/>
      <c r="K45" s="401"/>
      <c r="L45" s="401"/>
      <c r="M45" s="401"/>
      <c r="N45" s="402"/>
      <c r="O45" s="402"/>
      <c r="P45" s="403"/>
      <c r="Q45" s="401"/>
      <c r="R45" s="401"/>
      <c r="S45" s="403"/>
      <c r="T45" s="401"/>
      <c r="U45" s="401"/>
    </row>
    <row r="46" spans="1:21" s="342" customFormat="1" ht="18.75" customHeight="1" x14ac:dyDescent="0.2">
      <c r="A46" s="401"/>
      <c r="B46" s="402"/>
      <c r="C46" s="402"/>
      <c r="D46" s="402"/>
      <c r="E46" s="401"/>
      <c r="F46" s="401"/>
      <c r="G46" s="401"/>
      <c r="H46" s="401"/>
      <c r="I46" s="401"/>
      <c r="J46" s="401"/>
      <c r="K46" s="401"/>
      <c r="L46" s="401"/>
      <c r="M46" s="401"/>
      <c r="N46" s="402"/>
      <c r="O46" s="402"/>
      <c r="P46" s="403"/>
      <c r="Q46" s="401"/>
      <c r="R46" s="401"/>
      <c r="S46" s="403"/>
      <c r="T46" s="401"/>
      <c r="U46" s="401"/>
    </row>
    <row r="47" spans="1:21" s="342" customFormat="1" ht="18.75" customHeight="1" x14ac:dyDescent="0.2">
      <c r="A47" s="401"/>
      <c r="B47" s="402"/>
      <c r="C47" s="402"/>
      <c r="D47" s="402"/>
      <c r="E47" s="401"/>
      <c r="F47" s="401"/>
      <c r="G47" s="401"/>
      <c r="H47" s="401"/>
      <c r="I47" s="401"/>
      <c r="J47" s="401"/>
      <c r="K47" s="401"/>
      <c r="L47" s="401"/>
      <c r="M47" s="401"/>
      <c r="N47" s="402"/>
      <c r="O47" s="402"/>
      <c r="P47" s="403"/>
      <c r="Q47" s="401"/>
      <c r="R47" s="401"/>
      <c r="S47" s="403"/>
      <c r="T47" s="401"/>
      <c r="U47" s="401"/>
    </row>
    <row r="48" spans="1:21" ht="20.25" customHeight="1" x14ac:dyDescent="0.2">
      <c r="E48" s="404"/>
      <c r="F48" s="404"/>
      <c r="H48" s="404"/>
      <c r="I48" s="404"/>
      <c r="Q48" s="405"/>
      <c r="T48" s="405"/>
    </row>
    <row r="49" spans="1:21" ht="76.5" customHeight="1" x14ac:dyDescent="0.2">
      <c r="A49" s="401"/>
      <c r="B49" s="402"/>
      <c r="C49" s="402"/>
      <c r="D49" s="402"/>
      <c r="E49" s="401"/>
      <c r="F49" s="401"/>
      <c r="G49" s="401"/>
      <c r="H49" s="401"/>
      <c r="I49" s="401"/>
      <c r="J49" s="401"/>
      <c r="K49" s="401"/>
      <c r="L49" s="401"/>
      <c r="M49" s="401"/>
      <c r="N49" s="402"/>
      <c r="O49" s="402"/>
      <c r="P49" s="403"/>
      <c r="Q49" s="401"/>
      <c r="R49" s="401"/>
      <c r="S49" s="403"/>
      <c r="T49" s="401"/>
      <c r="U49" s="401"/>
    </row>
    <row r="50" spans="1:21" ht="20.25" customHeight="1" x14ac:dyDescent="0.2">
      <c r="E50" s="404"/>
      <c r="F50" s="404"/>
      <c r="H50" s="404"/>
      <c r="I50" s="404"/>
      <c r="Q50" s="404"/>
      <c r="T50" s="404"/>
    </row>
    <row r="51" spans="1:21" ht="16.5" customHeight="1" x14ac:dyDescent="0.25">
      <c r="E51" s="404"/>
      <c r="F51" s="404"/>
      <c r="H51" s="404"/>
      <c r="I51" s="404"/>
      <c r="L51" s="407"/>
      <c r="M51" s="407"/>
      <c r="N51" s="408"/>
      <c r="O51" s="408"/>
      <c r="P51" s="409"/>
      <c r="Q51" s="407"/>
    </row>
    <row r="52" spans="1:21" ht="30.75" customHeight="1" x14ac:dyDescent="0.2">
      <c r="E52" s="405"/>
      <c r="F52" s="405"/>
      <c r="H52" s="405"/>
      <c r="I52" s="405"/>
      <c r="Q52" s="405"/>
      <c r="T52" s="405"/>
    </row>
    <row r="53" spans="1:21" ht="12.75" customHeight="1" x14ac:dyDescent="0.2">
      <c r="E53" s="405"/>
      <c r="F53" s="405"/>
      <c r="H53" s="405"/>
      <c r="I53" s="405"/>
      <c r="Q53" s="405"/>
      <c r="T53" s="405"/>
    </row>
    <row r="54" spans="1:21" ht="12.75" customHeight="1" x14ac:dyDescent="0.2">
      <c r="E54" s="405"/>
      <c r="F54" s="405"/>
      <c r="H54" s="405"/>
      <c r="I54" s="405"/>
      <c r="Q54" s="405"/>
      <c r="T54" s="405"/>
    </row>
  </sheetData>
  <sheetProtection password="CB8D" sheet="1" objects="1" scenarios="1"/>
  <mergeCells count="40">
    <mergeCell ref="P4:P5"/>
    <mergeCell ref="P6:P7"/>
    <mergeCell ref="Q6:Q7"/>
    <mergeCell ref="R6:R7"/>
    <mergeCell ref="S6:S7"/>
    <mergeCell ref="G6:G7"/>
    <mergeCell ref="T6:T7"/>
    <mergeCell ref="U6:U7"/>
    <mergeCell ref="H6:H7"/>
    <mergeCell ref="I6:I7"/>
    <mergeCell ref="J6:J7"/>
    <mergeCell ref="N6:N7"/>
    <mergeCell ref="O6:O7"/>
    <mergeCell ref="M6:M7"/>
    <mergeCell ref="C6:C7"/>
    <mergeCell ref="D6:D7"/>
    <mergeCell ref="B6:B7"/>
    <mergeCell ref="E6:E7"/>
    <mergeCell ref="F6:F7"/>
    <mergeCell ref="B4:B5"/>
    <mergeCell ref="E4:E5"/>
    <mergeCell ref="F4:F5"/>
    <mergeCell ref="G4:G5"/>
    <mergeCell ref="H4:H5"/>
    <mergeCell ref="P1:R1"/>
    <mergeCell ref="S1:U1"/>
    <mergeCell ref="H1:J1"/>
    <mergeCell ref="E1:G1"/>
    <mergeCell ref="C4:C5"/>
    <mergeCell ref="D4:D5"/>
    <mergeCell ref="U4:U5"/>
    <mergeCell ref="T4:T5"/>
    <mergeCell ref="M4:M5"/>
    <mergeCell ref="O4:O5"/>
    <mergeCell ref="J4:J5"/>
    <mergeCell ref="I4:I5"/>
    <mergeCell ref="N4:N5"/>
    <mergeCell ref="S4:S5"/>
    <mergeCell ref="R4:R5"/>
    <mergeCell ref="Q4:Q5"/>
  </mergeCells>
  <phoneticPr fontId="2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  <pageSetUpPr fitToPage="1"/>
  </sheetPr>
  <dimension ref="A1:AD25"/>
  <sheetViews>
    <sheetView showGridLines="0" workbookViewId="0">
      <selection activeCell="AF11" sqref="AF11"/>
    </sheetView>
  </sheetViews>
  <sheetFormatPr defaultRowHeight="12.75" x14ac:dyDescent="0.2"/>
  <cols>
    <col min="1" max="28" width="4.28515625" style="292" customWidth="1"/>
    <col min="29" max="29" width="9.7109375" style="292" customWidth="1"/>
    <col min="30" max="30" width="9.140625" style="292"/>
    <col min="31" max="16384" width="9.140625" style="3"/>
  </cols>
  <sheetData>
    <row r="1" spans="1:29" ht="24" customHeight="1" x14ac:dyDescent="0.2">
      <c r="A1" s="721" t="s">
        <v>291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</row>
    <row r="2" spans="1:29" ht="18" customHeight="1" x14ac:dyDescent="0.2">
      <c r="A2" s="704" t="s">
        <v>63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</row>
    <row r="3" spans="1:29" ht="15" customHeight="1" x14ac:dyDescent="0.2">
      <c r="A3" s="722" t="s">
        <v>196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</row>
    <row r="4" spans="1:29" ht="26.25" customHeight="1" x14ac:dyDescent="0.2">
      <c r="A4" s="724" t="s">
        <v>197</v>
      </c>
      <c r="B4" s="724"/>
      <c r="C4" s="724"/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  <c r="O4" s="724"/>
      <c r="P4" s="724"/>
      <c r="Q4" s="724"/>
      <c r="R4" s="724"/>
      <c r="S4" s="724"/>
      <c r="T4" s="724"/>
      <c r="U4" s="724"/>
      <c r="V4" s="724"/>
      <c r="W4" s="724"/>
      <c r="X4" s="724"/>
      <c r="Y4" s="724"/>
      <c r="Z4" s="724"/>
      <c r="AA4" s="724"/>
      <c r="AB4" s="724"/>
      <c r="AC4" s="724"/>
    </row>
    <row r="5" spans="1:29" ht="12" customHeight="1" x14ac:dyDescent="0.2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</row>
    <row r="6" spans="1:29" ht="69.75" customHeight="1" x14ac:dyDescent="0.2">
      <c r="A6" s="725" t="s">
        <v>286</v>
      </c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725"/>
    </row>
    <row r="7" spans="1:29" ht="24" customHeight="1" x14ac:dyDescent="0.2">
      <c r="A7" s="726" t="s">
        <v>288</v>
      </c>
      <c r="B7" s="726"/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  <c r="O7" s="726"/>
      <c r="P7" s="726"/>
      <c r="Q7" s="726"/>
      <c r="R7" s="726"/>
      <c r="S7" s="726"/>
      <c r="T7" s="726"/>
      <c r="U7" s="726"/>
      <c r="V7" s="726"/>
      <c r="W7" s="726"/>
      <c r="X7" s="726"/>
      <c r="Y7" s="726"/>
      <c r="Z7" s="726"/>
      <c r="AA7" s="726"/>
      <c r="AB7" s="726"/>
      <c r="AC7" s="726"/>
    </row>
    <row r="8" spans="1:29" ht="48.75" customHeight="1" x14ac:dyDescent="0.2">
      <c r="A8" s="705" t="s">
        <v>292</v>
      </c>
      <c r="B8" s="705"/>
      <c r="C8" s="705"/>
      <c r="D8" s="705"/>
      <c r="E8" s="705"/>
      <c r="F8" s="705"/>
      <c r="G8" s="705"/>
      <c r="H8" s="705"/>
      <c r="I8" s="705"/>
      <c r="J8" s="705"/>
      <c r="K8" s="705"/>
      <c r="L8" s="705"/>
      <c r="M8" s="705"/>
      <c r="N8" s="705"/>
      <c r="O8" s="705"/>
      <c r="P8" s="705"/>
      <c r="Q8" s="705"/>
      <c r="R8" s="705"/>
      <c r="S8" s="705"/>
      <c r="T8" s="705"/>
      <c r="U8" s="705"/>
      <c r="V8" s="705"/>
      <c r="W8" s="705"/>
      <c r="X8" s="705"/>
      <c r="Y8" s="705"/>
      <c r="Z8" s="705"/>
      <c r="AA8" s="705"/>
      <c r="AB8" s="705"/>
      <c r="AC8" s="705"/>
    </row>
    <row r="9" spans="1:29" ht="33.75" customHeight="1" x14ac:dyDescent="0.2">
      <c r="A9" s="723" t="s">
        <v>201</v>
      </c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3"/>
      <c r="AC9" s="723"/>
    </row>
    <row r="10" spans="1:29" ht="42.75" customHeight="1" x14ac:dyDescent="0.2">
      <c r="A10" s="715" t="s">
        <v>290</v>
      </c>
      <c r="B10" s="715"/>
      <c r="C10" s="715"/>
      <c r="D10" s="715"/>
      <c r="E10" s="715"/>
      <c r="F10" s="715"/>
      <c r="G10" s="715"/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5"/>
      <c r="AC10" s="715"/>
    </row>
    <row r="11" spans="1:29" ht="112.5" customHeight="1" x14ac:dyDescent="0.2">
      <c r="A11" s="706" t="s">
        <v>289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706"/>
      <c r="O11" s="706"/>
      <c r="P11" s="706"/>
      <c r="Q11" s="706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</row>
    <row r="12" spans="1:29" ht="3.95" customHeight="1" x14ac:dyDescent="0.2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</row>
    <row r="13" spans="1:29" ht="36" customHeight="1" x14ac:dyDescent="0.2">
      <c r="A13" s="716" t="s">
        <v>200</v>
      </c>
      <c r="B13" s="716"/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16"/>
      <c r="AC13" s="716"/>
    </row>
    <row r="14" spans="1:29" ht="18.75" customHeight="1" x14ac:dyDescent="0.2">
      <c r="A14" s="706" t="s">
        <v>64</v>
      </c>
      <c r="B14" s="706"/>
      <c r="C14" s="706"/>
      <c r="D14" s="706"/>
      <c r="E14" s="706"/>
      <c r="F14" s="706"/>
      <c r="G14" s="706"/>
      <c r="H14" s="706"/>
      <c r="I14" s="706"/>
      <c r="J14" s="706"/>
      <c r="K14" s="706"/>
      <c r="L14" s="706"/>
      <c r="M14" s="706"/>
      <c r="N14" s="706"/>
      <c r="O14" s="706"/>
      <c r="P14" s="706"/>
      <c r="Q14" s="706"/>
      <c r="R14" s="706"/>
      <c r="S14" s="706"/>
      <c r="T14" s="706"/>
      <c r="U14" s="706"/>
      <c r="V14" s="706"/>
      <c r="W14" s="706"/>
      <c r="X14" s="706"/>
      <c r="Y14" s="706"/>
      <c r="Z14" s="706"/>
      <c r="AA14" s="706"/>
      <c r="AB14" s="706"/>
      <c r="AC14" s="706"/>
    </row>
    <row r="15" spans="1:29" ht="18.75" customHeight="1" x14ac:dyDescent="0.2">
      <c r="A15" s="716" t="s">
        <v>65</v>
      </c>
      <c r="B15" s="716"/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16"/>
      <c r="AC15" s="716"/>
    </row>
    <row r="16" spans="1:29" ht="39.75" customHeight="1" x14ac:dyDescent="0.2">
      <c r="A16" s="717" t="s">
        <v>198</v>
      </c>
      <c r="B16" s="717"/>
      <c r="C16" s="717"/>
      <c r="D16" s="717"/>
      <c r="E16" s="717"/>
      <c r="F16" s="717"/>
      <c r="G16" s="717"/>
      <c r="H16" s="717"/>
      <c r="I16" s="717"/>
      <c r="J16" s="717"/>
      <c r="K16" s="717"/>
      <c r="L16" s="717"/>
      <c r="M16" s="717"/>
      <c r="N16" s="717"/>
      <c r="O16" s="717"/>
      <c r="P16" s="717"/>
      <c r="Q16" s="717"/>
      <c r="R16" s="717"/>
      <c r="S16" s="717"/>
      <c r="T16" s="717"/>
      <c r="U16" s="717"/>
      <c r="V16" s="717"/>
      <c r="W16" s="717"/>
      <c r="X16" s="717"/>
      <c r="Y16" s="717"/>
      <c r="Z16" s="717"/>
      <c r="AA16" s="717"/>
      <c r="AB16" s="717"/>
      <c r="AC16" s="717"/>
    </row>
    <row r="17" spans="1:30" ht="48" customHeight="1" x14ac:dyDescent="0.2">
      <c r="A17" s="704" t="s">
        <v>199</v>
      </c>
      <c r="B17" s="704"/>
      <c r="C17" s="704"/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4"/>
      <c r="Q17" s="704"/>
      <c r="R17" s="704"/>
      <c r="S17" s="704"/>
      <c r="T17" s="704"/>
      <c r="U17" s="704"/>
      <c r="V17" s="704"/>
      <c r="W17" s="704"/>
      <c r="X17" s="704"/>
      <c r="Y17" s="704"/>
      <c r="Z17" s="704"/>
      <c r="AA17" s="704"/>
      <c r="AB17" s="704"/>
      <c r="AC17" s="704"/>
    </row>
    <row r="18" spans="1:30" ht="13.5" customHeight="1" thickBot="1" x14ac:dyDescent="0.25">
      <c r="A18" s="4" t="s">
        <v>37</v>
      </c>
      <c r="B18" s="709" t="s">
        <v>38</v>
      </c>
      <c r="C18" s="710"/>
      <c r="D18" s="710"/>
      <c r="E18" s="710"/>
      <c r="F18" s="710"/>
      <c r="G18" s="710"/>
      <c r="H18" s="710"/>
      <c r="I18" s="710"/>
      <c r="J18" s="711"/>
      <c r="K18" s="709" t="s">
        <v>39</v>
      </c>
      <c r="L18" s="710"/>
      <c r="M18" s="710"/>
      <c r="N18" s="710"/>
      <c r="O18" s="710"/>
      <c r="P18" s="710"/>
      <c r="Q18" s="710"/>
      <c r="R18" s="710"/>
      <c r="S18" s="710"/>
      <c r="T18" s="288"/>
      <c r="U18" s="718" t="s">
        <v>40</v>
      </c>
      <c r="V18" s="710"/>
      <c r="W18" s="710"/>
      <c r="X18" s="710"/>
      <c r="Y18" s="719"/>
      <c r="Z18" s="710" t="s">
        <v>33</v>
      </c>
      <c r="AA18" s="710"/>
      <c r="AB18" s="718" t="s">
        <v>30</v>
      </c>
      <c r="AC18" s="720"/>
      <c r="AD18" s="3"/>
    </row>
    <row r="19" spans="1:30" ht="18" x14ac:dyDescent="0.2">
      <c r="A19" s="5" t="s">
        <v>0</v>
      </c>
      <c r="B19" s="296"/>
      <c r="C19" s="712"/>
      <c r="D19" s="713"/>
      <c r="E19" s="713"/>
      <c r="F19" s="713"/>
      <c r="G19" s="713"/>
      <c r="H19" s="713"/>
      <c r="I19" s="713"/>
      <c r="J19" s="714"/>
      <c r="K19" s="297" t="s">
        <v>62</v>
      </c>
      <c r="L19" s="707"/>
      <c r="M19" s="708"/>
      <c r="N19" s="708"/>
      <c r="O19" s="708"/>
      <c r="P19" s="708"/>
      <c r="Q19" s="708"/>
      <c r="R19" s="708"/>
      <c r="S19" s="708"/>
      <c r="T19" s="301"/>
      <c r="U19" s="6" t="s">
        <v>67</v>
      </c>
      <c r="V19" s="7"/>
      <c r="W19" s="7"/>
      <c r="X19" s="7"/>
      <c r="Y19" s="8"/>
      <c r="Z19" s="9">
        <v>3</v>
      </c>
      <c r="AA19" s="10">
        <v>0</v>
      </c>
      <c r="AB19" s="11" t="s">
        <v>79</v>
      </c>
      <c r="AC19" s="12" t="s">
        <v>80</v>
      </c>
      <c r="AD19" s="3"/>
    </row>
    <row r="20" spans="1:30" ht="18" x14ac:dyDescent="0.2">
      <c r="A20" s="13" t="s">
        <v>1</v>
      </c>
      <c r="B20" s="298" t="s">
        <v>62</v>
      </c>
      <c r="C20" s="697"/>
      <c r="D20" s="698"/>
      <c r="E20" s="698"/>
      <c r="F20" s="698"/>
      <c r="G20" s="698"/>
      <c r="H20" s="698"/>
      <c r="I20" s="698"/>
      <c r="J20" s="703"/>
      <c r="K20" s="299"/>
      <c r="L20" s="697"/>
      <c r="M20" s="698"/>
      <c r="N20" s="698"/>
      <c r="O20" s="698"/>
      <c r="P20" s="698"/>
      <c r="Q20" s="698"/>
      <c r="R20" s="698"/>
      <c r="S20" s="698"/>
      <c r="T20" s="302"/>
      <c r="U20" s="152" t="s">
        <v>83</v>
      </c>
      <c r="V20" s="14"/>
      <c r="W20" s="14"/>
      <c r="X20" s="14"/>
      <c r="Y20" s="15"/>
      <c r="Z20" s="16">
        <v>0</v>
      </c>
      <c r="AA20" s="17">
        <v>3</v>
      </c>
      <c r="AB20" s="18" t="s">
        <v>80</v>
      </c>
      <c r="AC20" s="19" t="s">
        <v>79</v>
      </c>
      <c r="AD20" s="3"/>
    </row>
    <row r="21" spans="1:30" ht="36.75" customHeight="1" x14ac:dyDescent="0.2">
      <c r="A21" s="699" t="s">
        <v>287</v>
      </c>
      <c r="B21" s="699"/>
      <c r="C21" s="699"/>
      <c r="D21" s="699"/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699"/>
      <c r="X21" s="699"/>
      <c r="Y21" s="699"/>
      <c r="Z21" s="699"/>
      <c r="AA21" s="699"/>
      <c r="AB21" s="699"/>
      <c r="AC21" s="699"/>
    </row>
    <row r="22" spans="1:30" ht="15.75" customHeight="1" x14ac:dyDescent="0.2">
      <c r="A22" s="700" t="s">
        <v>84</v>
      </c>
      <c r="B22" s="700"/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  <c r="N22" s="700"/>
      <c r="O22" s="700"/>
      <c r="P22" s="700"/>
      <c r="Q22" s="700"/>
      <c r="R22" s="700"/>
      <c r="S22" s="700"/>
      <c r="T22" s="700"/>
      <c r="U22" s="700"/>
      <c r="V22" s="700"/>
      <c r="W22" s="700"/>
      <c r="X22" s="700"/>
      <c r="Y22" s="700"/>
      <c r="Z22" s="700"/>
      <c r="AA22" s="700"/>
      <c r="AB22" s="700"/>
      <c r="AC22" s="700"/>
    </row>
    <row r="23" spans="1:30" s="20" customFormat="1" ht="33" customHeight="1" x14ac:dyDescent="0.2">
      <c r="A23" s="702" t="s">
        <v>66</v>
      </c>
      <c r="B23" s="702"/>
      <c r="C23" s="702"/>
      <c r="D23" s="702"/>
      <c r="E23" s="702"/>
      <c r="F23" s="702"/>
      <c r="G23" s="702"/>
      <c r="H23" s="702"/>
      <c r="I23" s="702"/>
      <c r="J23" s="702"/>
      <c r="K23" s="702"/>
      <c r="L23" s="702"/>
      <c r="M23" s="702"/>
      <c r="N23" s="702"/>
      <c r="O23" s="702"/>
      <c r="P23" s="702"/>
      <c r="Q23" s="702"/>
      <c r="R23" s="702"/>
      <c r="S23" s="702"/>
      <c r="T23" s="702"/>
      <c r="U23" s="702"/>
      <c r="V23" s="702"/>
      <c r="W23" s="702"/>
      <c r="X23" s="702"/>
      <c r="Y23" s="702"/>
      <c r="Z23" s="702"/>
      <c r="AA23" s="702"/>
      <c r="AB23" s="702"/>
      <c r="AC23" s="702"/>
      <c r="AD23" s="300"/>
    </row>
    <row r="24" spans="1:30" ht="15.75" x14ac:dyDescent="0.25">
      <c r="A24" s="701" t="s">
        <v>81</v>
      </c>
      <c r="B24" s="701"/>
      <c r="C24" s="701"/>
      <c r="D24" s="701"/>
      <c r="E24" s="701"/>
      <c r="F24" s="701"/>
      <c r="G24" s="701"/>
      <c r="H24" s="701"/>
      <c r="I24" s="701"/>
      <c r="J24" s="701"/>
      <c r="K24" s="701"/>
      <c r="L24" s="701"/>
      <c r="M24" s="701"/>
      <c r="N24" s="701"/>
      <c r="O24" s="701"/>
      <c r="P24" s="701"/>
      <c r="Q24" s="701"/>
      <c r="R24" s="701"/>
      <c r="S24" s="701"/>
      <c r="T24" s="701"/>
      <c r="U24" s="701"/>
      <c r="V24" s="701"/>
      <c r="W24" s="701"/>
      <c r="X24" s="701"/>
      <c r="Y24" s="701"/>
      <c r="Z24" s="701"/>
      <c r="AA24" s="701"/>
      <c r="AB24" s="701"/>
      <c r="AC24" s="701"/>
    </row>
    <row r="25" spans="1:30" ht="44.25" customHeight="1" x14ac:dyDescent="0.2">
      <c r="A25" s="696" t="s">
        <v>202</v>
      </c>
      <c r="B25" s="696"/>
      <c r="C25" s="696"/>
      <c r="D25" s="696"/>
      <c r="E25" s="696"/>
      <c r="F25" s="696"/>
      <c r="G25" s="696"/>
      <c r="H25" s="696"/>
      <c r="I25" s="696"/>
      <c r="J25" s="696"/>
      <c r="K25" s="696"/>
      <c r="L25" s="696"/>
      <c r="M25" s="696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</row>
  </sheetData>
  <mergeCells count="29">
    <mergeCell ref="A1:AC1"/>
    <mergeCell ref="A3:AC3"/>
    <mergeCell ref="A2:AC2"/>
    <mergeCell ref="A13:AC13"/>
    <mergeCell ref="A9:AC9"/>
    <mergeCell ref="A4:AC4"/>
    <mergeCell ref="A6:AC6"/>
    <mergeCell ref="A7:AC7"/>
    <mergeCell ref="A17:AC17"/>
    <mergeCell ref="A8:AC8"/>
    <mergeCell ref="A14:AC14"/>
    <mergeCell ref="A11:Q11"/>
    <mergeCell ref="L19:S19"/>
    <mergeCell ref="K18:S18"/>
    <mergeCell ref="B18:J18"/>
    <mergeCell ref="C19:J19"/>
    <mergeCell ref="A10:AC10"/>
    <mergeCell ref="A15:AC15"/>
    <mergeCell ref="A16:AC16"/>
    <mergeCell ref="U18:Y18"/>
    <mergeCell ref="Z18:AA18"/>
    <mergeCell ref="AB18:AC18"/>
    <mergeCell ref="A25:AC25"/>
    <mergeCell ref="L20:S20"/>
    <mergeCell ref="A21:AC21"/>
    <mergeCell ref="A22:AC22"/>
    <mergeCell ref="A24:AC24"/>
    <mergeCell ref="A23:AC23"/>
    <mergeCell ref="C20:J20"/>
  </mergeCells>
  <phoneticPr fontId="27" type="noConversion"/>
  <pageMargins left="0.59055118110236227" right="0.59055118110236227" top="0.78740157480314965" bottom="0.78740157480314965" header="0.51181102362204722" footer="0.51181102362204722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AO15"/>
  <sheetViews>
    <sheetView showGridLines="0" workbookViewId="0">
      <selection activeCell="R28" sqref="R28"/>
    </sheetView>
  </sheetViews>
  <sheetFormatPr defaultRowHeight="12.75" x14ac:dyDescent="0.2"/>
  <cols>
    <col min="1" max="1" width="7" style="163" customWidth="1"/>
    <col min="2" max="2" width="5.7109375" style="163" customWidth="1"/>
    <col min="3" max="3" width="5.7109375" style="162" customWidth="1"/>
    <col min="4" max="9" width="5.7109375" style="163" customWidth="1"/>
    <col min="10" max="10" width="2" style="163" customWidth="1"/>
    <col min="11" max="18" width="5.7109375" style="162" customWidth="1"/>
    <col min="19" max="22" width="3.28515625" style="202" customWidth="1"/>
    <col min="23" max="25" width="3.28515625" style="163" customWidth="1"/>
    <col min="26" max="26" width="3.28515625" style="162" customWidth="1"/>
    <col min="27" max="33" width="3.28515625" style="163" customWidth="1"/>
    <col min="34" max="39" width="3.28515625" style="162" customWidth="1"/>
    <col min="40" max="40" width="1.7109375" style="162" customWidth="1"/>
    <col min="41" max="41" width="3.28515625" style="162" customWidth="1"/>
    <col min="42" max="16384" width="9.140625" style="163"/>
  </cols>
  <sheetData>
    <row r="2" spans="1:41" s="158" customFormat="1" ht="45" x14ac:dyDescent="0.2">
      <c r="A2" s="740">
        <f>'Zápis-4hráči'!P8</f>
        <v>0</v>
      </c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157"/>
      <c r="P2" s="157"/>
      <c r="Q2" s="157"/>
      <c r="R2" s="157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</row>
    <row r="3" spans="1:41" s="158" customFormat="1" ht="19.5" x14ac:dyDescent="0.2">
      <c r="A3" s="742" t="s">
        <v>86</v>
      </c>
      <c r="B3" s="742"/>
      <c r="C3" s="742"/>
      <c r="D3" s="742"/>
      <c r="E3" s="742"/>
      <c r="F3" s="742"/>
      <c r="G3" s="159"/>
      <c r="H3" s="742" t="s">
        <v>87</v>
      </c>
      <c r="I3" s="742"/>
      <c r="J3" s="742"/>
      <c r="K3" s="742"/>
      <c r="L3" s="742"/>
      <c r="M3" s="742"/>
      <c r="N3" s="742"/>
      <c r="O3" s="157"/>
      <c r="P3" s="157"/>
      <c r="Q3" s="157"/>
      <c r="R3" s="157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E3" s="741"/>
      <c r="AF3" s="741"/>
      <c r="AG3" s="741"/>
      <c r="AH3" s="741"/>
      <c r="AI3" s="741"/>
      <c r="AJ3" s="741"/>
      <c r="AK3" s="741"/>
      <c r="AL3" s="741"/>
      <c r="AM3" s="741"/>
      <c r="AN3" s="741"/>
      <c r="AO3" s="741"/>
    </row>
    <row r="4" spans="1:41" ht="12" customHeight="1" x14ac:dyDescent="0.2">
      <c r="A4" s="160"/>
      <c r="B4" s="160"/>
      <c r="C4" s="160"/>
      <c r="D4" s="160"/>
      <c r="E4" s="160"/>
      <c r="F4" s="160"/>
      <c r="G4" s="161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2"/>
      <c r="T4" s="162"/>
      <c r="U4" s="162"/>
      <c r="V4" s="162"/>
      <c r="W4" s="162"/>
      <c r="X4" s="162"/>
      <c r="Y4" s="162"/>
      <c r="AA4" s="162"/>
      <c r="AB4" s="162"/>
      <c r="AC4" s="162"/>
      <c r="AE4" s="162"/>
      <c r="AF4" s="162"/>
      <c r="AG4" s="162"/>
    </row>
    <row r="5" spans="1:41" s="167" customFormat="1" ht="63" customHeight="1" x14ac:dyDescent="0.2">
      <c r="A5" s="738">
        <f>'Zápis-4hráči'!G10</f>
        <v>0</v>
      </c>
      <c r="B5" s="738"/>
      <c r="C5" s="738"/>
      <c r="D5" s="738"/>
      <c r="E5" s="738"/>
      <c r="F5" s="738"/>
      <c r="G5" s="164" t="s">
        <v>55</v>
      </c>
      <c r="H5" s="738">
        <f>'Zápis-4hráči'!G12</f>
        <v>0</v>
      </c>
      <c r="I5" s="738"/>
      <c r="J5" s="738"/>
      <c r="K5" s="738"/>
      <c r="L5" s="738"/>
      <c r="M5" s="738"/>
      <c r="N5" s="738"/>
      <c r="O5" s="165"/>
      <c r="P5" s="165"/>
      <c r="Q5" s="165"/>
      <c r="R5" s="165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166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</row>
    <row r="6" spans="1:41" s="171" customFormat="1" ht="227.25" customHeight="1" x14ac:dyDescent="0.2">
      <c r="A6" s="735">
        <f>IF('Zápis-4hráči'!X1="",0,'Zápis-4hráči'!X1)</f>
        <v>0</v>
      </c>
      <c r="B6" s="735"/>
      <c r="C6" s="735"/>
      <c r="D6" s="735"/>
      <c r="E6" s="735"/>
      <c r="F6" s="735"/>
      <c r="G6" s="168" t="s">
        <v>72</v>
      </c>
      <c r="H6" s="736">
        <f>IF('Zápis-4hráči'!AB1="",0,'Zápis-4hráči'!AB1)</f>
        <v>0</v>
      </c>
      <c r="I6" s="736"/>
      <c r="J6" s="736"/>
      <c r="K6" s="736"/>
      <c r="L6" s="736"/>
      <c r="M6" s="736"/>
      <c r="N6" s="736"/>
      <c r="O6" s="169"/>
      <c r="P6" s="169"/>
      <c r="Q6" s="169"/>
      <c r="R6" s="169"/>
      <c r="S6" s="737"/>
      <c r="T6" s="737"/>
      <c r="U6" s="737"/>
      <c r="V6" s="737"/>
      <c r="W6" s="737"/>
      <c r="X6" s="737"/>
      <c r="Y6" s="737"/>
      <c r="Z6" s="737"/>
      <c r="AA6" s="737"/>
      <c r="AB6" s="737"/>
      <c r="AC6" s="737"/>
      <c r="AD6" s="170"/>
      <c r="AE6" s="737"/>
      <c r="AF6" s="737"/>
      <c r="AG6" s="737"/>
      <c r="AH6" s="737"/>
      <c r="AI6" s="737"/>
      <c r="AJ6" s="737"/>
      <c r="AK6" s="737"/>
      <c r="AL6" s="737"/>
      <c r="AM6" s="737"/>
      <c r="AN6" s="737"/>
      <c r="AO6" s="737"/>
    </row>
    <row r="7" spans="1:41" s="173" customFormat="1" ht="33" hidden="1" customHeight="1" x14ac:dyDescent="0.2">
      <c r="A7" s="733" t="str">
        <f>PROPER('Zápis-4hráči'!CX23)</f>
        <v>0</v>
      </c>
      <c r="B7" s="733"/>
      <c r="C7" s="733"/>
      <c r="D7" s="733"/>
      <c r="E7" s="733"/>
      <c r="F7" s="733"/>
      <c r="G7" s="172" t="str">
        <f>'Zápis-4hráči'!CY23</f>
        <v>-</v>
      </c>
      <c r="H7" s="734" t="str">
        <f>PROPER('Zápis-4hráči'!CZ23)</f>
        <v>0</v>
      </c>
      <c r="I7" s="734"/>
      <c r="J7" s="734"/>
      <c r="K7" s="734"/>
      <c r="L7" s="734"/>
      <c r="M7" s="734"/>
      <c r="N7" s="73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</row>
    <row r="8" spans="1:41" s="178" customFormat="1" ht="15" hidden="1" customHeight="1" x14ac:dyDescent="0.2">
      <c r="A8" s="176"/>
      <c r="B8" s="176"/>
      <c r="C8" s="176"/>
      <c r="D8" s="727" t="s">
        <v>70</v>
      </c>
      <c r="E8" s="728"/>
      <c r="F8" s="728"/>
      <c r="G8" s="728"/>
      <c r="H8" s="729"/>
      <c r="I8" s="728" t="s">
        <v>76</v>
      </c>
      <c r="J8" s="728"/>
      <c r="K8" s="729"/>
      <c r="L8" s="176"/>
      <c r="M8" s="176"/>
      <c r="N8" s="176"/>
      <c r="O8" s="176"/>
      <c r="P8" s="176"/>
      <c r="Q8" s="176"/>
      <c r="R8" s="176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6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s="185" customFormat="1" ht="33" hidden="1" x14ac:dyDescent="0.2">
      <c r="A9" s="179"/>
      <c r="B9" s="179"/>
      <c r="C9" s="179"/>
      <c r="D9" s="180" t="str">
        <f>'Zápis-4hráči'!DA23</f>
        <v/>
      </c>
      <c r="E9" s="181" t="str">
        <f>'Zápis-4hráči'!DB23</f>
        <v/>
      </c>
      <c r="F9" s="181" t="str">
        <f>'Zápis-4hráči'!DC23</f>
        <v/>
      </c>
      <c r="G9" s="181" t="str">
        <f>'Zápis-4hráči'!DD23</f>
        <v/>
      </c>
      <c r="H9" s="182" t="str">
        <f>'Zápis-4hráči'!DE23</f>
        <v/>
      </c>
      <c r="I9" s="183" t="str">
        <f>'Zápis-4hráči'!DF23</f>
        <v/>
      </c>
      <c r="J9" s="183" t="str">
        <f>'Zápis-4hráči'!DG23</f>
        <v>:</v>
      </c>
      <c r="K9" s="184" t="str">
        <f>'Zápis-4hráči'!DH23</f>
        <v/>
      </c>
      <c r="S9" s="730"/>
      <c r="T9" s="730"/>
      <c r="U9" s="730"/>
      <c r="V9" s="730"/>
      <c r="W9" s="730"/>
      <c r="X9" s="730"/>
      <c r="Y9" s="730"/>
      <c r="Z9" s="730"/>
      <c r="AA9" s="730"/>
      <c r="AB9" s="186"/>
      <c r="AC9" s="186"/>
      <c r="AD9" s="186"/>
      <c r="AE9" s="186"/>
      <c r="AF9" s="186"/>
      <c r="AG9" s="186"/>
      <c r="AH9" s="730"/>
      <c r="AI9" s="730"/>
      <c r="AJ9" s="730"/>
      <c r="AK9" s="730"/>
      <c r="AL9" s="730"/>
      <c r="AM9" s="730"/>
      <c r="AN9" s="730"/>
      <c r="AO9" s="730"/>
    </row>
    <row r="10" spans="1:41" s="187" customFormat="1" ht="28.5" hidden="1" customHeight="1" x14ac:dyDescent="0.2">
      <c r="B10" s="188"/>
      <c r="S10" s="189"/>
      <c r="T10" s="189"/>
      <c r="U10" s="189"/>
      <c r="V10" s="189"/>
      <c r="W10" s="188"/>
      <c r="X10" s="188"/>
      <c r="Y10" s="188"/>
      <c r="Z10" s="190"/>
      <c r="AH10" s="190"/>
      <c r="AI10" s="190"/>
      <c r="AJ10" s="190"/>
      <c r="AK10" s="190"/>
      <c r="AL10" s="190"/>
      <c r="AM10" s="190"/>
      <c r="AN10" s="190"/>
      <c r="AO10" s="190"/>
    </row>
    <row r="11" spans="1:41" s="185" customFormat="1" ht="33" hidden="1" customHeight="1" x14ac:dyDescent="0.2">
      <c r="A11" s="731" t="str">
        <f>PROPER('Zápis-4hráči'!CX26)</f>
        <v>0</v>
      </c>
      <c r="B11" s="731"/>
      <c r="C11" s="731"/>
      <c r="D11" s="731"/>
      <c r="E11" s="731"/>
      <c r="F11" s="731"/>
      <c r="G11" s="191" t="str">
        <f>'Zápis-4hráči'!CY26</f>
        <v>-</v>
      </c>
      <c r="H11" s="732" t="str">
        <f>PROPER('Zápis-4hráči'!CZ26)</f>
        <v>0</v>
      </c>
      <c r="I11" s="732"/>
      <c r="J11" s="732"/>
      <c r="K11" s="732"/>
      <c r="L11" s="732"/>
      <c r="M11" s="732"/>
      <c r="N11" s="732"/>
      <c r="S11" s="192"/>
      <c r="T11" s="192"/>
      <c r="U11" s="192"/>
      <c r="V11" s="192"/>
      <c r="W11" s="193"/>
      <c r="X11" s="193"/>
      <c r="Y11" s="193"/>
      <c r="Z11" s="186"/>
      <c r="AH11" s="186"/>
      <c r="AI11" s="186"/>
      <c r="AJ11" s="186"/>
      <c r="AK11" s="186"/>
      <c r="AL11" s="186"/>
      <c r="AM11" s="186"/>
      <c r="AN11" s="186"/>
      <c r="AO11" s="186"/>
    </row>
    <row r="12" spans="1:41" s="178" customFormat="1" ht="15.75" hidden="1" x14ac:dyDescent="0.2">
      <c r="A12" s="194"/>
      <c r="C12" s="195"/>
      <c r="D12" s="727" t="s">
        <v>70</v>
      </c>
      <c r="E12" s="728"/>
      <c r="F12" s="728"/>
      <c r="G12" s="728"/>
      <c r="H12" s="729"/>
      <c r="I12" s="727" t="s">
        <v>76</v>
      </c>
      <c r="J12" s="728"/>
      <c r="K12" s="729"/>
      <c r="L12" s="195"/>
      <c r="M12" s="195"/>
      <c r="N12" s="195"/>
      <c r="O12" s="195"/>
      <c r="P12" s="195"/>
      <c r="Q12" s="195"/>
      <c r="R12" s="195"/>
      <c r="S12" s="194"/>
      <c r="T12" s="194"/>
      <c r="U12" s="194"/>
      <c r="V12" s="194"/>
      <c r="Z12" s="195"/>
      <c r="AH12" s="195"/>
      <c r="AI12" s="195"/>
      <c r="AJ12" s="195"/>
      <c r="AK12" s="195"/>
      <c r="AL12" s="195"/>
      <c r="AM12" s="195"/>
      <c r="AN12" s="195"/>
      <c r="AO12" s="195"/>
    </row>
    <row r="13" spans="1:41" s="179" customFormat="1" ht="33" hidden="1" x14ac:dyDescent="0.2">
      <c r="A13" s="196"/>
      <c r="C13" s="197"/>
      <c r="D13" s="180" t="str">
        <f>'Zápis-4hráči'!DA26</f>
        <v/>
      </c>
      <c r="E13" s="181" t="str">
        <f>'Zápis-4hráči'!DB26</f>
        <v/>
      </c>
      <c r="F13" s="181" t="str">
        <f>'Zápis-4hráči'!DC26</f>
        <v/>
      </c>
      <c r="G13" s="181" t="str">
        <f>'Zápis-4hráči'!DD26</f>
        <v/>
      </c>
      <c r="H13" s="182" t="str">
        <f>'Zápis-4hráči'!DE26</f>
        <v/>
      </c>
      <c r="I13" s="198">
        <f>'Zápis-4hráči'!DF26</f>
        <v>0</v>
      </c>
      <c r="J13" s="183" t="str">
        <f>'Zápis-4hráči'!DG26</f>
        <v>:</v>
      </c>
      <c r="K13" s="184">
        <f>'Zápis-4hráči'!DH26</f>
        <v>0</v>
      </c>
      <c r="L13" s="197"/>
      <c r="M13" s="197"/>
      <c r="N13" s="197"/>
      <c r="O13" s="197"/>
      <c r="P13" s="197"/>
      <c r="Q13" s="197"/>
      <c r="R13" s="197"/>
      <c r="S13" s="196"/>
      <c r="T13" s="196"/>
      <c r="U13" s="196"/>
      <c r="V13" s="196"/>
      <c r="Z13" s="197"/>
      <c r="AH13" s="197"/>
      <c r="AI13" s="197"/>
      <c r="AJ13" s="197"/>
      <c r="AK13" s="197"/>
      <c r="AL13" s="197"/>
      <c r="AM13" s="197"/>
      <c r="AN13" s="197"/>
      <c r="AO13" s="197"/>
    </row>
    <row r="14" spans="1:41" s="200" customFormat="1" ht="20.25" x14ac:dyDescent="0.2">
      <c r="A14" s="199"/>
      <c r="C14" s="201"/>
      <c r="K14" s="201"/>
      <c r="L14" s="201"/>
      <c r="M14" s="201"/>
      <c r="N14" s="201"/>
      <c r="O14" s="201"/>
      <c r="P14" s="201"/>
      <c r="Q14" s="201"/>
      <c r="R14" s="201"/>
      <c r="S14" s="199"/>
      <c r="T14" s="199"/>
      <c r="U14" s="199"/>
      <c r="V14" s="199"/>
      <c r="Z14" s="201"/>
      <c r="AH14" s="201"/>
      <c r="AI14" s="201"/>
      <c r="AJ14" s="201"/>
      <c r="AK14" s="201"/>
      <c r="AL14" s="201"/>
      <c r="AM14" s="201"/>
      <c r="AN14" s="201"/>
      <c r="AO14" s="201"/>
    </row>
    <row r="15" spans="1:41" s="200" customFormat="1" ht="20.25" x14ac:dyDescent="0.2">
      <c r="A15" s="199"/>
      <c r="C15" s="201"/>
      <c r="K15" s="201"/>
      <c r="L15" s="201"/>
      <c r="M15" s="201"/>
      <c r="N15" s="201"/>
      <c r="O15" s="201"/>
      <c r="P15" s="201"/>
      <c r="Q15" s="201"/>
      <c r="R15" s="201"/>
      <c r="S15" s="199"/>
      <c r="T15" s="199"/>
      <c r="U15" s="199"/>
      <c r="V15" s="199"/>
      <c r="Z15" s="201"/>
      <c r="AH15" s="201"/>
      <c r="AI15" s="201"/>
      <c r="AJ15" s="201"/>
      <c r="AK15" s="201"/>
      <c r="AL15" s="201"/>
      <c r="AM15" s="201"/>
      <c r="AN15" s="201"/>
      <c r="AO15" s="201"/>
    </row>
  </sheetData>
  <sheetProtection password="CB8D" sheet="1" objects="1" scenarios="1"/>
  <mergeCells count="25">
    <mergeCell ref="A2:N2"/>
    <mergeCell ref="S2:AO2"/>
    <mergeCell ref="A3:F3"/>
    <mergeCell ref="H3:N3"/>
    <mergeCell ref="S3:AC3"/>
    <mergeCell ref="AE3:AO3"/>
    <mergeCell ref="S6:AC6"/>
    <mergeCell ref="AE6:AO6"/>
    <mergeCell ref="A5:F5"/>
    <mergeCell ref="H5:N5"/>
    <mergeCell ref="S5:AC5"/>
    <mergeCell ref="AE5:AO5"/>
    <mergeCell ref="A7:F7"/>
    <mergeCell ref="H7:N7"/>
    <mergeCell ref="D8:H8"/>
    <mergeCell ref="I8:K8"/>
    <mergeCell ref="A6:F6"/>
    <mergeCell ref="H6:N6"/>
    <mergeCell ref="D12:H12"/>
    <mergeCell ref="I12:K12"/>
    <mergeCell ref="S9:AA9"/>
    <mergeCell ref="AH9:AL9"/>
    <mergeCell ref="AM9:AO9"/>
    <mergeCell ref="A11:F11"/>
    <mergeCell ref="H11:N11"/>
  </mergeCells>
  <phoneticPr fontId="2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9"/>
  <sheetViews>
    <sheetView zoomScale="115" workbookViewId="0"/>
  </sheetViews>
  <sheetFormatPr defaultRowHeight="12.75" x14ac:dyDescent="0.2"/>
  <cols>
    <col min="1" max="12" width="21.7109375" style="278" customWidth="1"/>
    <col min="13" max="14" width="21.7109375" style="286" customWidth="1"/>
    <col min="15" max="56" width="17.7109375" style="286" customWidth="1"/>
    <col min="57" max="57" width="9.140625" style="278" customWidth="1"/>
    <col min="58" max="16384" width="9.140625" style="278"/>
  </cols>
  <sheetData>
    <row r="1" spans="1:143" ht="18.75" thickBot="1" x14ac:dyDescent="0.3">
      <c r="A1" s="425" t="s">
        <v>85</v>
      </c>
      <c r="B1" s="425" t="s">
        <v>613</v>
      </c>
      <c r="C1" s="425"/>
      <c r="N1" s="423" t="s">
        <v>219</v>
      </c>
      <c r="O1" s="424"/>
      <c r="P1" s="278"/>
      <c r="Q1" s="278"/>
      <c r="R1" s="278"/>
      <c r="S1" s="278"/>
      <c r="T1" s="278"/>
      <c r="U1" s="278"/>
      <c r="V1" s="278"/>
      <c r="W1" s="278"/>
      <c r="X1" s="278"/>
      <c r="Y1" s="278"/>
      <c r="AA1" s="425" t="s">
        <v>171</v>
      </c>
      <c r="AB1" s="425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P1" s="425" t="s">
        <v>172</v>
      </c>
      <c r="AQ1" s="425"/>
      <c r="AR1" s="278"/>
      <c r="AS1" s="278"/>
      <c r="AT1" s="278"/>
      <c r="AU1" s="278"/>
      <c r="AV1" s="278"/>
      <c r="AW1" s="278"/>
      <c r="AX1" s="278"/>
      <c r="AY1" s="278"/>
      <c r="AZ1" s="278"/>
      <c r="BA1" s="278"/>
    </row>
    <row r="2" spans="1:143" s="306" customFormat="1" ht="25.5" x14ac:dyDescent="0.2">
      <c r="A2" s="240" t="s">
        <v>350</v>
      </c>
      <c r="B2" s="240" t="s">
        <v>300</v>
      </c>
      <c r="C2" s="240" t="s">
        <v>293</v>
      </c>
      <c r="D2" s="303" t="s">
        <v>381</v>
      </c>
      <c r="E2" s="303" t="s">
        <v>357</v>
      </c>
      <c r="F2" s="240" t="s">
        <v>382</v>
      </c>
      <c r="G2" s="240" t="s">
        <v>383</v>
      </c>
      <c r="H2" s="240" t="s">
        <v>384</v>
      </c>
      <c r="I2" s="240" t="s">
        <v>294</v>
      </c>
      <c r="J2" s="240" t="s">
        <v>492</v>
      </c>
      <c r="K2" s="240" t="s">
        <v>493</v>
      </c>
      <c r="L2" s="240" t="s">
        <v>494</v>
      </c>
      <c r="M2" s="310"/>
      <c r="N2" s="240" t="s">
        <v>369</v>
      </c>
      <c r="O2" s="240" t="s">
        <v>323</v>
      </c>
      <c r="P2" s="240" t="s">
        <v>298</v>
      </c>
      <c r="Q2" s="303" t="s">
        <v>521</v>
      </c>
      <c r="R2" s="303" t="s">
        <v>322</v>
      </c>
      <c r="S2" s="240" t="s">
        <v>400</v>
      </c>
      <c r="T2" s="240" t="s">
        <v>299</v>
      </c>
      <c r="U2" s="240" t="s">
        <v>304</v>
      </c>
      <c r="V2" s="240" t="s">
        <v>401</v>
      </c>
      <c r="W2" s="240" t="s">
        <v>522</v>
      </c>
      <c r="X2" s="240" t="s">
        <v>523</v>
      </c>
      <c r="Y2" s="240" t="s">
        <v>524</v>
      </c>
      <c r="Z2" s="304"/>
      <c r="AA2" s="240" t="s">
        <v>417</v>
      </c>
      <c r="AB2" s="240" t="s">
        <v>418</v>
      </c>
      <c r="AC2" s="240" t="s">
        <v>325</v>
      </c>
      <c r="AD2" s="240" t="s">
        <v>419</v>
      </c>
      <c r="AE2" s="240" t="s">
        <v>420</v>
      </c>
      <c r="AF2" s="240" t="s">
        <v>421</v>
      </c>
      <c r="AG2" s="240" t="s">
        <v>321</v>
      </c>
      <c r="AH2" s="240" t="s">
        <v>324</v>
      </c>
      <c r="AI2" s="240" t="s">
        <v>422</v>
      </c>
      <c r="AJ2" s="240" t="s">
        <v>423</v>
      </c>
      <c r="AK2" s="240" t="s">
        <v>327</v>
      </c>
      <c r="AL2" s="240" t="s">
        <v>544</v>
      </c>
      <c r="AM2" s="240" t="s">
        <v>545</v>
      </c>
      <c r="AN2" s="240" t="s">
        <v>546</v>
      </c>
      <c r="AO2" s="304"/>
      <c r="AP2" s="240" t="s">
        <v>455</v>
      </c>
      <c r="AQ2" s="240" t="s">
        <v>229</v>
      </c>
      <c r="AR2" s="240" t="s">
        <v>456</v>
      </c>
      <c r="AS2" s="240" t="s">
        <v>326</v>
      </c>
      <c r="AT2" s="240" t="s">
        <v>457</v>
      </c>
      <c r="AU2" s="240" t="s">
        <v>295</v>
      </c>
      <c r="AV2" s="240" t="s">
        <v>320</v>
      </c>
      <c r="AW2" s="240" t="s">
        <v>319</v>
      </c>
      <c r="AX2" s="240" t="s">
        <v>458</v>
      </c>
      <c r="AY2" s="240" t="s">
        <v>567</v>
      </c>
      <c r="AZ2" s="240" t="s">
        <v>570</v>
      </c>
      <c r="BA2" s="240" t="s">
        <v>568</v>
      </c>
      <c r="BB2" s="240" t="s">
        <v>569</v>
      </c>
      <c r="BC2" s="240" t="s">
        <v>571</v>
      </c>
      <c r="BD2" s="305"/>
    </row>
    <row r="3" spans="1:143" x14ac:dyDescent="0.2">
      <c r="A3" s="286" t="s">
        <v>173</v>
      </c>
      <c r="B3" s="430" t="s">
        <v>258</v>
      </c>
      <c r="C3" s="431" t="s">
        <v>387</v>
      </c>
      <c r="D3" s="280" t="s">
        <v>274</v>
      </c>
      <c r="E3" s="431" t="s">
        <v>355</v>
      </c>
      <c r="F3" s="286" t="s">
        <v>102</v>
      </c>
      <c r="G3" s="431" t="s">
        <v>395</v>
      </c>
      <c r="H3" s="286" t="s">
        <v>397</v>
      </c>
      <c r="I3" s="431" t="s">
        <v>88</v>
      </c>
      <c r="J3" s="286" t="s">
        <v>265</v>
      </c>
      <c r="K3" s="279" t="s">
        <v>495</v>
      </c>
      <c r="L3" s="279" t="s">
        <v>509</v>
      </c>
      <c r="M3" s="2"/>
      <c r="N3" s="241" t="s">
        <v>203</v>
      </c>
      <c r="O3" s="241" t="s">
        <v>114</v>
      </c>
      <c r="P3" s="279" t="s">
        <v>89</v>
      </c>
      <c r="Q3" s="280" t="s">
        <v>134</v>
      </c>
      <c r="R3" s="280" t="s">
        <v>404</v>
      </c>
      <c r="S3" s="279" t="s">
        <v>394</v>
      </c>
      <c r="T3" s="279" t="s">
        <v>176</v>
      </c>
      <c r="U3" s="279" t="s">
        <v>175</v>
      </c>
      <c r="V3" s="279" t="s">
        <v>415</v>
      </c>
      <c r="W3" s="279" t="s">
        <v>525</v>
      </c>
      <c r="X3" s="279" t="s">
        <v>107</v>
      </c>
      <c r="Y3" s="279" t="s">
        <v>513</v>
      </c>
      <c r="Z3" s="1"/>
      <c r="AA3" s="241" t="s">
        <v>95</v>
      </c>
      <c r="AB3" s="286" t="s">
        <v>156</v>
      </c>
      <c r="AC3" s="279" t="s">
        <v>207</v>
      </c>
      <c r="AD3" s="280" t="s">
        <v>396</v>
      </c>
      <c r="AE3" s="280" t="s">
        <v>275</v>
      </c>
      <c r="AF3" s="279" t="s">
        <v>302</v>
      </c>
      <c r="AG3" s="279" t="s">
        <v>399</v>
      </c>
      <c r="AH3" s="279" t="s">
        <v>232</v>
      </c>
      <c r="AI3" s="279" t="s">
        <v>283</v>
      </c>
      <c r="AJ3" s="279" t="s">
        <v>119</v>
      </c>
      <c r="AK3" s="279" t="s">
        <v>263</v>
      </c>
      <c r="AL3" s="279" t="s">
        <v>547</v>
      </c>
      <c r="AM3" s="308" t="s">
        <v>296</v>
      </c>
      <c r="AN3" s="279" t="s">
        <v>221</v>
      </c>
      <c r="AO3" s="1"/>
      <c r="AP3" s="241" t="s">
        <v>459</v>
      </c>
      <c r="AQ3" s="241" t="s">
        <v>361</v>
      </c>
      <c r="AR3" s="279" t="s">
        <v>330</v>
      </c>
      <c r="AS3" s="280" t="s">
        <v>352</v>
      </c>
      <c r="AT3" s="280" t="s">
        <v>159</v>
      </c>
      <c r="AU3" s="279" t="s">
        <v>147</v>
      </c>
      <c r="AV3" s="279" t="s">
        <v>276</v>
      </c>
      <c r="AW3" s="279" t="s">
        <v>150</v>
      </c>
      <c r="AX3" s="279" t="s">
        <v>486</v>
      </c>
      <c r="AY3" s="279" t="s">
        <v>572</v>
      </c>
      <c r="AZ3" s="279" t="s">
        <v>584</v>
      </c>
      <c r="BA3" s="279" t="s">
        <v>597</v>
      </c>
      <c r="BB3" s="308" t="s">
        <v>517</v>
      </c>
      <c r="BC3" s="279" t="s">
        <v>529</v>
      </c>
      <c r="BD3" s="287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286"/>
      <c r="CV3" s="286"/>
      <c r="CW3" s="286"/>
      <c r="CX3" s="286"/>
      <c r="CY3" s="286"/>
      <c r="CZ3" s="286"/>
      <c r="DA3" s="286"/>
      <c r="DB3" s="286"/>
      <c r="DC3" s="286"/>
      <c r="DD3" s="286"/>
      <c r="DE3" s="286"/>
      <c r="DF3" s="286"/>
      <c r="DG3" s="286"/>
      <c r="DH3" s="286"/>
      <c r="DI3" s="286"/>
      <c r="DJ3" s="286"/>
      <c r="DK3" s="286"/>
      <c r="DL3" s="286"/>
      <c r="DM3" s="286"/>
      <c r="DN3" s="286"/>
      <c r="DO3" s="286"/>
      <c r="DP3" s="286"/>
      <c r="DQ3" s="286"/>
      <c r="DR3" s="286"/>
      <c r="DS3" s="286"/>
      <c r="DT3" s="286"/>
      <c r="DU3" s="286"/>
      <c r="DV3" s="286"/>
      <c r="DW3" s="286"/>
      <c r="DX3" s="286"/>
      <c r="DY3" s="286"/>
      <c r="DZ3" s="286"/>
      <c r="EA3" s="286"/>
      <c r="EB3" s="286"/>
      <c r="EC3" s="286"/>
      <c r="ED3" s="286"/>
      <c r="EE3" s="286"/>
      <c r="EF3" s="286"/>
      <c r="EG3" s="286"/>
      <c r="EH3" s="286"/>
      <c r="EI3" s="286"/>
      <c r="EJ3" s="286"/>
      <c r="EK3" s="286"/>
      <c r="EL3" s="286"/>
      <c r="EM3" s="286"/>
    </row>
    <row r="4" spans="1:143" x14ac:dyDescent="0.2">
      <c r="A4" s="286" t="s">
        <v>179</v>
      </c>
      <c r="B4" s="430" t="s">
        <v>129</v>
      </c>
      <c r="C4" s="431" t="s">
        <v>109</v>
      </c>
      <c r="D4" s="280" t="s">
        <v>358</v>
      </c>
      <c r="E4" s="431" t="s">
        <v>353</v>
      </c>
      <c r="F4" s="286" t="s">
        <v>103</v>
      </c>
      <c r="G4" s="431" t="s">
        <v>380</v>
      </c>
      <c r="H4" s="286" t="s">
        <v>121</v>
      </c>
      <c r="I4" s="431" t="s">
        <v>211</v>
      </c>
      <c r="J4" s="286" t="s">
        <v>362</v>
      </c>
      <c r="K4" s="279" t="s">
        <v>496</v>
      </c>
      <c r="L4" s="279" t="s">
        <v>510</v>
      </c>
      <c r="M4" s="2"/>
      <c r="N4" s="241" t="s">
        <v>98</v>
      </c>
      <c r="O4" s="241" t="s">
        <v>297</v>
      </c>
      <c r="P4" s="279" t="s">
        <v>153</v>
      </c>
      <c r="Q4" s="280" t="s">
        <v>133</v>
      </c>
      <c r="R4" s="280" t="s">
        <v>215</v>
      </c>
      <c r="S4" s="279" t="s">
        <v>305</v>
      </c>
      <c r="T4" s="279" t="s">
        <v>224</v>
      </c>
      <c r="U4" s="279" t="s">
        <v>181</v>
      </c>
      <c r="V4" s="279" t="s">
        <v>416</v>
      </c>
      <c r="W4" s="279" t="s">
        <v>526</v>
      </c>
      <c r="X4" s="279" t="s">
        <v>116</v>
      </c>
      <c r="Y4" s="279" t="s">
        <v>514</v>
      </c>
      <c r="Z4" s="1"/>
      <c r="AA4" s="241" t="s">
        <v>96</v>
      </c>
      <c r="AB4" s="286" t="s">
        <v>402</v>
      </c>
      <c r="AC4" s="279" t="s">
        <v>135</v>
      </c>
      <c r="AD4" s="280" t="s">
        <v>126</v>
      </c>
      <c r="AE4" s="280" t="s">
        <v>278</v>
      </c>
      <c r="AF4" s="279" t="s">
        <v>90</v>
      </c>
      <c r="AG4" s="279" t="s">
        <v>268</v>
      </c>
      <c r="AH4" s="279" t="s">
        <v>237</v>
      </c>
      <c r="AI4" s="279" t="s">
        <v>112</v>
      </c>
      <c r="AJ4" s="279" t="s">
        <v>233</v>
      </c>
      <c r="AK4" s="279" t="s">
        <v>246</v>
      </c>
      <c r="AL4" s="279" t="s">
        <v>548</v>
      </c>
      <c r="AM4" s="308" t="s">
        <v>105</v>
      </c>
      <c r="AN4" s="279" t="s">
        <v>367</v>
      </c>
      <c r="AO4" s="1"/>
      <c r="AP4" s="241" t="s">
        <v>163</v>
      </c>
      <c r="AQ4" s="241" t="s">
        <v>259</v>
      </c>
      <c r="AR4" s="279" t="s">
        <v>328</v>
      </c>
      <c r="AS4" s="280" t="s">
        <v>239</v>
      </c>
      <c r="AT4" s="280" t="s">
        <v>378</v>
      </c>
      <c r="AU4" s="279" t="s">
        <v>144</v>
      </c>
      <c r="AV4" s="279" t="s">
        <v>370</v>
      </c>
      <c r="AW4" s="279" t="s">
        <v>146</v>
      </c>
      <c r="AX4" s="279" t="s">
        <v>487</v>
      </c>
      <c r="AY4" s="279" t="s">
        <v>573</v>
      </c>
      <c r="AZ4" s="279" t="s">
        <v>585</v>
      </c>
      <c r="BA4" s="279" t="s">
        <v>598</v>
      </c>
      <c r="BB4" s="308" t="s">
        <v>518</v>
      </c>
      <c r="BC4" s="279" t="s">
        <v>534</v>
      </c>
      <c r="BD4" s="287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  <c r="BX4" s="286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  <c r="CO4" s="286"/>
      <c r="CP4" s="286"/>
      <c r="CQ4" s="286"/>
      <c r="CR4" s="286"/>
      <c r="CS4" s="286"/>
      <c r="CT4" s="286"/>
      <c r="CU4" s="286"/>
      <c r="CV4" s="286"/>
      <c r="CW4" s="286"/>
      <c r="CX4" s="286"/>
      <c r="CY4" s="286"/>
      <c r="CZ4" s="286"/>
      <c r="DA4" s="286"/>
      <c r="DB4" s="286"/>
      <c r="DC4" s="286"/>
      <c r="DD4" s="286"/>
      <c r="DE4" s="286"/>
      <c r="DF4" s="286"/>
      <c r="DG4" s="286"/>
      <c r="DH4" s="286"/>
      <c r="DI4" s="286"/>
      <c r="DJ4" s="286"/>
      <c r="DK4" s="286"/>
      <c r="DL4" s="286"/>
      <c r="DM4" s="286"/>
      <c r="DN4" s="286"/>
      <c r="DO4" s="286"/>
      <c r="DP4" s="286"/>
      <c r="DQ4" s="286"/>
      <c r="DR4" s="286"/>
      <c r="DS4" s="286"/>
      <c r="DT4" s="286"/>
      <c r="DU4" s="286"/>
      <c r="DV4" s="286"/>
      <c r="DW4" s="286"/>
      <c r="DX4" s="286"/>
      <c r="DY4" s="286"/>
      <c r="DZ4" s="286"/>
      <c r="EA4" s="286"/>
      <c r="EB4" s="286"/>
      <c r="EC4" s="286"/>
      <c r="ED4" s="286"/>
      <c r="EE4" s="286"/>
      <c r="EF4" s="286"/>
      <c r="EG4" s="286"/>
      <c r="EH4" s="286"/>
      <c r="EI4" s="286"/>
      <c r="EJ4" s="286"/>
      <c r="EK4" s="286"/>
      <c r="EL4" s="286"/>
      <c r="EM4" s="286"/>
    </row>
    <row r="5" spans="1:143" x14ac:dyDescent="0.2">
      <c r="A5" s="286" t="s">
        <v>343</v>
      </c>
      <c r="B5" s="430" t="s">
        <v>230</v>
      </c>
      <c r="C5" s="431" t="s">
        <v>388</v>
      </c>
      <c r="D5" s="280" t="s">
        <v>213</v>
      </c>
      <c r="E5" s="431" t="s">
        <v>354</v>
      </c>
      <c r="F5" s="286" t="s">
        <v>111</v>
      </c>
      <c r="G5" s="431" t="s">
        <v>122</v>
      </c>
      <c r="H5" s="286" t="s">
        <v>317</v>
      </c>
      <c r="I5" s="431" t="s">
        <v>212</v>
      </c>
      <c r="J5" s="286" t="s">
        <v>301</v>
      </c>
      <c r="K5" s="279" t="s">
        <v>432</v>
      </c>
      <c r="L5" s="279" t="s">
        <v>511</v>
      </c>
      <c r="M5" s="2"/>
      <c r="N5" s="241" t="s">
        <v>94</v>
      </c>
      <c r="O5" s="241" t="s">
        <v>115</v>
      </c>
      <c r="P5" s="279" t="s">
        <v>149</v>
      </c>
      <c r="Q5" s="280" t="s">
        <v>271</v>
      </c>
      <c r="R5" s="280" t="s">
        <v>145</v>
      </c>
      <c r="S5" s="279" t="s">
        <v>218</v>
      </c>
      <c r="T5" s="279" t="s">
        <v>174</v>
      </c>
      <c r="U5" s="279" t="s">
        <v>184</v>
      </c>
      <c r="V5" s="279" t="s">
        <v>205</v>
      </c>
      <c r="W5" s="279" t="s">
        <v>527</v>
      </c>
      <c r="X5" s="279" t="s">
        <v>106</v>
      </c>
      <c r="Y5" s="279" t="s">
        <v>515</v>
      </c>
      <c r="Z5" s="1"/>
      <c r="AA5" s="241" t="s">
        <v>97</v>
      </c>
      <c r="AB5" s="286" t="s">
        <v>210</v>
      </c>
      <c r="AC5" s="279" t="s">
        <v>137</v>
      </c>
      <c r="AD5" s="280" t="s">
        <v>124</v>
      </c>
      <c r="AE5" s="280" t="s">
        <v>160</v>
      </c>
      <c r="AF5" s="279" t="s">
        <v>93</v>
      </c>
      <c r="AG5" s="279" t="s">
        <v>164</v>
      </c>
      <c r="AH5" s="279" t="s">
        <v>92</v>
      </c>
      <c r="AI5" s="279" t="s">
        <v>337</v>
      </c>
      <c r="AJ5" s="279" t="s">
        <v>238</v>
      </c>
      <c r="AK5" s="279" t="s">
        <v>260</v>
      </c>
      <c r="AL5" s="279" t="s">
        <v>549</v>
      </c>
      <c r="AM5" s="308" t="s">
        <v>108</v>
      </c>
      <c r="AN5" s="279" t="s">
        <v>206</v>
      </c>
      <c r="AO5" s="1"/>
      <c r="AP5" s="241" t="s">
        <v>460</v>
      </c>
      <c r="AQ5" s="241" t="s">
        <v>390</v>
      </c>
      <c r="AR5" s="279" t="s">
        <v>472</v>
      </c>
      <c r="AS5" s="280" t="s">
        <v>244</v>
      </c>
      <c r="AT5" s="280" t="s">
        <v>148</v>
      </c>
      <c r="AU5" s="279" t="s">
        <v>158</v>
      </c>
      <c r="AV5" s="279" t="s">
        <v>182</v>
      </c>
      <c r="AW5" s="279" t="s">
        <v>228</v>
      </c>
      <c r="AX5" s="279" t="s">
        <v>488</v>
      </c>
      <c r="AY5" s="279" t="s">
        <v>574</v>
      </c>
      <c r="AZ5" s="279" t="s">
        <v>586</v>
      </c>
      <c r="BA5" s="279" t="s">
        <v>599</v>
      </c>
      <c r="BB5" s="308" t="s">
        <v>519</v>
      </c>
      <c r="BC5" s="279" t="s">
        <v>530</v>
      </c>
      <c r="BD5" s="287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  <c r="BX5" s="286"/>
      <c r="BY5" s="286"/>
      <c r="BZ5" s="286"/>
      <c r="CA5" s="286"/>
      <c r="CB5" s="286"/>
      <c r="CC5" s="286"/>
      <c r="CD5" s="286"/>
      <c r="CE5" s="286"/>
      <c r="CF5" s="286"/>
      <c r="CG5" s="286"/>
      <c r="CH5" s="286"/>
      <c r="CI5" s="286"/>
      <c r="CJ5" s="286"/>
      <c r="CK5" s="286"/>
      <c r="CL5" s="286"/>
      <c r="CM5" s="286"/>
      <c r="CN5" s="286"/>
      <c r="CO5" s="286"/>
      <c r="CP5" s="286"/>
      <c r="CQ5" s="286"/>
      <c r="CR5" s="286"/>
      <c r="CS5" s="286"/>
      <c r="CT5" s="286"/>
      <c r="CU5" s="286"/>
      <c r="CV5" s="286"/>
      <c r="CW5" s="286"/>
      <c r="CX5" s="286"/>
      <c r="CY5" s="286"/>
      <c r="CZ5" s="286"/>
      <c r="DA5" s="286"/>
      <c r="DB5" s="286"/>
      <c r="DC5" s="286"/>
      <c r="DD5" s="286"/>
      <c r="DE5" s="286"/>
      <c r="DF5" s="286"/>
      <c r="DG5" s="286"/>
      <c r="DH5" s="286"/>
      <c r="DI5" s="286"/>
      <c r="DJ5" s="286"/>
      <c r="DK5" s="286"/>
      <c r="DL5" s="286"/>
      <c r="DM5" s="286"/>
      <c r="DN5" s="286"/>
      <c r="DO5" s="286"/>
      <c r="DP5" s="286"/>
      <c r="DQ5" s="286"/>
      <c r="DR5" s="286"/>
      <c r="DS5" s="286"/>
      <c r="DT5" s="286"/>
      <c r="DU5" s="286"/>
      <c r="DV5" s="286"/>
      <c r="DW5" s="286"/>
      <c r="DX5" s="286"/>
      <c r="DY5" s="286"/>
      <c r="DZ5" s="286"/>
      <c r="EA5" s="286"/>
      <c r="EB5" s="286"/>
      <c r="EC5" s="286"/>
      <c r="ED5" s="286"/>
      <c r="EE5" s="286"/>
      <c r="EF5" s="286"/>
      <c r="EG5" s="286"/>
      <c r="EH5" s="286"/>
      <c r="EI5" s="286"/>
      <c r="EJ5" s="286"/>
      <c r="EK5" s="286"/>
      <c r="EL5" s="286"/>
      <c r="EM5" s="286"/>
    </row>
    <row r="6" spans="1:143" x14ac:dyDescent="0.2">
      <c r="A6" s="286" t="s">
        <v>189</v>
      </c>
      <c r="B6" s="430" t="s">
        <v>306</v>
      </c>
      <c r="C6" s="431" t="s">
        <v>110</v>
      </c>
      <c r="D6" s="280" t="s">
        <v>360</v>
      </c>
      <c r="E6" s="431" t="s">
        <v>359</v>
      </c>
      <c r="F6" s="286" t="s">
        <v>393</v>
      </c>
      <c r="G6" s="431" t="s">
        <v>346</v>
      </c>
      <c r="H6" s="286" t="s">
        <v>120</v>
      </c>
      <c r="I6" s="431" t="s">
        <v>91</v>
      </c>
      <c r="J6" s="286" t="s">
        <v>104</v>
      </c>
      <c r="K6" s="279" t="s">
        <v>497</v>
      </c>
      <c r="L6" s="279" t="s">
        <v>512</v>
      </c>
      <c r="M6" s="2"/>
      <c r="N6" s="241" t="s">
        <v>143</v>
      </c>
      <c r="O6" s="241" t="s">
        <v>266</v>
      </c>
      <c r="P6" s="279" t="s">
        <v>270</v>
      </c>
      <c r="Q6" s="280" t="s">
        <v>136</v>
      </c>
      <c r="R6" s="280" t="s">
        <v>405</v>
      </c>
      <c r="S6" s="279" t="s">
        <v>303</v>
      </c>
      <c r="T6" s="279" t="s">
        <v>410</v>
      </c>
      <c r="U6" s="279" t="s">
        <v>177</v>
      </c>
      <c r="V6" s="279" t="s">
        <v>204</v>
      </c>
      <c r="W6" s="279" t="s">
        <v>528</v>
      </c>
      <c r="X6" s="279" t="s">
        <v>118</v>
      </c>
      <c r="Y6" s="279" t="s">
        <v>516</v>
      </c>
      <c r="Z6" s="1"/>
      <c r="AA6" s="241" t="s">
        <v>99</v>
      </c>
      <c r="AB6" s="286" t="s">
        <v>225</v>
      </c>
      <c r="AC6" s="279" t="s">
        <v>240</v>
      </c>
      <c r="AD6" s="280" t="s">
        <v>311</v>
      </c>
      <c r="AE6" s="280" t="s">
        <v>127</v>
      </c>
      <c r="AF6" s="279" t="s">
        <v>267</v>
      </c>
      <c r="AG6" s="279" t="s">
        <v>281</v>
      </c>
      <c r="AH6" s="279" t="s">
        <v>247</v>
      </c>
      <c r="AI6" s="279" t="s">
        <v>151</v>
      </c>
      <c r="AJ6" s="279" t="s">
        <v>195</v>
      </c>
      <c r="AK6" s="279" t="s">
        <v>257</v>
      </c>
      <c r="AL6" s="279" t="s">
        <v>550</v>
      </c>
      <c r="AM6" s="308" t="s">
        <v>561</v>
      </c>
      <c r="AN6" s="279" t="s">
        <v>368</v>
      </c>
      <c r="AO6" s="1"/>
      <c r="AP6" s="241" t="s">
        <v>461</v>
      </c>
      <c r="AQ6" s="241" t="s">
        <v>315</v>
      </c>
      <c r="AR6" s="279" t="s">
        <v>473</v>
      </c>
      <c r="AS6" s="280" t="s">
        <v>203</v>
      </c>
      <c r="AT6" s="280" t="s">
        <v>379</v>
      </c>
      <c r="AU6" s="279" t="s">
        <v>155</v>
      </c>
      <c r="AV6" s="279" t="s">
        <v>374</v>
      </c>
      <c r="AW6" s="279" t="s">
        <v>483</v>
      </c>
      <c r="AX6" s="279" t="s">
        <v>489</v>
      </c>
      <c r="AY6" s="279" t="s">
        <v>575</v>
      </c>
      <c r="AZ6" s="279" t="s">
        <v>587</v>
      </c>
      <c r="BA6" s="279" t="s">
        <v>600</v>
      </c>
      <c r="BB6" s="308" t="s">
        <v>520</v>
      </c>
      <c r="BC6" s="279" t="s">
        <v>537</v>
      </c>
      <c r="BD6" s="287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  <c r="BX6" s="286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  <c r="CO6" s="286"/>
      <c r="CP6" s="286"/>
      <c r="CQ6" s="286"/>
      <c r="CR6" s="286"/>
      <c r="CS6" s="286"/>
      <c r="CT6" s="286"/>
      <c r="CU6" s="286"/>
      <c r="CV6" s="286"/>
      <c r="CW6" s="286"/>
      <c r="CX6" s="286"/>
      <c r="CY6" s="286"/>
      <c r="CZ6" s="286"/>
      <c r="DA6" s="286"/>
      <c r="DB6" s="286"/>
      <c r="DC6" s="286"/>
      <c r="DD6" s="286"/>
      <c r="DE6" s="286"/>
      <c r="DF6" s="286"/>
      <c r="DG6" s="286"/>
      <c r="DH6" s="286"/>
      <c r="DI6" s="286"/>
      <c r="DJ6" s="286"/>
      <c r="DK6" s="286"/>
      <c r="DL6" s="286"/>
      <c r="DM6" s="286"/>
      <c r="DN6" s="286"/>
      <c r="DO6" s="286"/>
      <c r="DP6" s="286"/>
      <c r="DQ6" s="286"/>
      <c r="DR6" s="286"/>
      <c r="DS6" s="286"/>
      <c r="DT6" s="286"/>
      <c r="DU6" s="286"/>
      <c r="DV6" s="286"/>
      <c r="DW6" s="286"/>
      <c r="DX6" s="286"/>
      <c r="DY6" s="286"/>
      <c r="DZ6" s="286"/>
      <c r="EA6" s="286"/>
      <c r="EB6" s="286"/>
      <c r="EC6" s="286"/>
      <c r="ED6" s="286"/>
      <c r="EE6" s="286"/>
      <c r="EF6" s="286"/>
      <c r="EG6" s="286"/>
      <c r="EH6" s="286"/>
      <c r="EI6" s="286"/>
      <c r="EJ6" s="286"/>
      <c r="EK6" s="286"/>
      <c r="EL6" s="286"/>
      <c r="EM6" s="286"/>
    </row>
    <row r="7" spans="1:143" x14ac:dyDescent="0.2">
      <c r="A7" s="286" t="s">
        <v>119</v>
      </c>
      <c r="B7" s="430" t="s">
        <v>236</v>
      </c>
      <c r="C7" s="431" t="s">
        <v>114</v>
      </c>
      <c r="D7" s="280" t="s">
        <v>389</v>
      </c>
      <c r="E7" s="431" t="s">
        <v>361</v>
      </c>
      <c r="F7" s="286" t="s">
        <v>283</v>
      </c>
      <c r="G7" s="431" t="s">
        <v>394</v>
      </c>
      <c r="H7" s="286" t="s">
        <v>218</v>
      </c>
      <c r="I7" s="431" t="s">
        <v>302</v>
      </c>
      <c r="J7" s="286" t="s">
        <v>117</v>
      </c>
      <c r="K7" s="279" t="s">
        <v>498</v>
      </c>
      <c r="L7" s="279" t="s">
        <v>513</v>
      </c>
      <c r="M7" s="2"/>
      <c r="N7" s="241" t="s">
        <v>95</v>
      </c>
      <c r="O7" s="241" t="s">
        <v>363</v>
      </c>
      <c r="P7" s="279" t="s">
        <v>156</v>
      </c>
      <c r="Q7" s="280" t="s">
        <v>207</v>
      </c>
      <c r="R7" s="280" t="s">
        <v>159</v>
      </c>
      <c r="S7" s="279" t="s">
        <v>396</v>
      </c>
      <c r="T7" s="279" t="s">
        <v>276</v>
      </c>
      <c r="U7" s="279" t="s">
        <v>193</v>
      </c>
      <c r="V7" s="279" t="s">
        <v>221</v>
      </c>
      <c r="W7" s="279" t="s">
        <v>529</v>
      </c>
      <c r="X7" s="279" t="s">
        <v>296</v>
      </c>
      <c r="Y7" s="279" t="s">
        <v>517</v>
      </c>
      <c r="Z7" s="1"/>
      <c r="AA7" s="241" t="s">
        <v>255</v>
      </c>
      <c r="AB7" s="286" t="s">
        <v>220</v>
      </c>
      <c r="AC7" s="279" t="s">
        <v>208</v>
      </c>
      <c r="AD7" s="280" t="s">
        <v>312</v>
      </c>
      <c r="AE7" s="280" t="s">
        <v>128</v>
      </c>
      <c r="AF7" s="279" t="s">
        <v>272</v>
      </c>
      <c r="AG7" s="279" t="s">
        <v>398</v>
      </c>
      <c r="AH7" s="279" t="s">
        <v>243</v>
      </c>
      <c r="AI7" s="279" t="s">
        <v>332</v>
      </c>
      <c r="AJ7" s="279" t="s">
        <v>189</v>
      </c>
      <c r="AK7" s="279" t="s">
        <v>451</v>
      </c>
      <c r="AL7" s="279" t="s">
        <v>551</v>
      </c>
      <c r="AM7" s="308"/>
      <c r="AN7" s="279" t="s">
        <v>542</v>
      </c>
      <c r="AO7" s="1"/>
      <c r="AP7" s="241" t="s">
        <v>462</v>
      </c>
      <c r="AQ7" s="241" t="s">
        <v>130</v>
      </c>
      <c r="AR7" s="279" t="s">
        <v>474</v>
      </c>
      <c r="AS7" s="280" t="s">
        <v>339</v>
      </c>
      <c r="AT7" s="280" t="s">
        <v>152</v>
      </c>
      <c r="AU7" s="279" t="s">
        <v>269</v>
      </c>
      <c r="AV7" s="279" t="s">
        <v>180</v>
      </c>
      <c r="AW7" s="279" t="s">
        <v>273</v>
      </c>
      <c r="AX7" s="279" t="s">
        <v>490</v>
      </c>
      <c r="AY7" s="279" t="s">
        <v>576</v>
      </c>
      <c r="AZ7" s="279" t="s">
        <v>588</v>
      </c>
      <c r="BA7" s="279" t="s">
        <v>601</v>
      </c>
      <c r="BB7" s="308" t="s">
        <v>541</v>
      </c>
      <c r="BC7" s="279" t="s">
        <v>532</v>
      </c>
      <c r="BD7" s="287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  <c r="BX7" s="286"/>
      <c r="BY7" s="286"/>
      <c r="BZ7" s="286"/>
      <c r="CA7" s="286"/>
      <c r="CB7" s="286"/>
      <c r="CC7" s="286"/>
      <c r="CD7" s="286"/>
      <c r="CE7" s="286"/>
      <c r="CF7" s="286"/>
      <c r="CG7" s="286"/>
      <c r="CH7" s="286"/>
      <c r="CI7" s="286"/>
      <c r="CJ7" s="286"/>
      <c r="CK7" s="286"/>
      <c r="CL7" s="286"/>
      <c r="CM7" s="286"/>
      <c r="CN7" s="286"/>
      <c r="CO7" s="286"/>
      <c r="CP7" s="286"/>
      <c r="CQ7" s="286"/>
      <c r="CR7" s="286"/>
      <c r="CS7" s="286"/>
      <c r="CT7" s="286"/>
      <c r="CU7" s="286"/>
      <c r="CV7" s="286"/>
      <c r="CW7" s="286"/>
      <c r="CX7" s="286"/>
      <c r="CY7" s="286"/>
      <c r="CZ7" s="286"/>
      <c r="DA7" s="286"/>
      <c r="DB7" s="286"/>
      <c r="DC7" s="286"/>
      <c r="DD7" s="286"/>
      <c r="DE7" s="286"/>
      <c r="DF7" s="286"/>
      <c r="DG7" s="286"/>
      <c r="DH7" s="286"/>
      <c r="DI7" s="286"/>
      <c r="DJ7" s="286"/>
      <c r="DK7" s="286"/>
      <c r="DL7" s="286"/>
      <c r="DM7" s="286"/>
      <c r="DN7" s="286"/>
      <c r="DO7" s="286"/>
      <c r="DP7" s="286"/>
      <c r="DQ7" s="286"/>
      <c r="DR7" s="286"/>
      <c r="DS7" s="286"/>
      <c r="DT7" s="286"/>
      <c r="DU7" s="286"/>
      <c r="DV7" s="286"/>
      <c r="DW7" s="286"/>
      <c r="DX7" s="286"/>
      <c r="DY7" s="286"/>
      <c r="DZ7" s="286"/>
      <c r="EA7" s="286"/>
      <c r="EB7" s="286"/>
      <c r="EC7" s="286"/>
      <c r="ED7" s="286"/>
      <c r="EE7" s="286"/>
      <c r="EF7" s="286"/>
      <c r="EG7" s="286"/>
      <c r="EH7" s="286"/>
      <c r="EI7" s="286"/>
      <c r="EJ7" s="286"/>
      <c r="EK7" s="286"/>
      <c r="EL7" s="286"/>
      <c r="EM7" s="286"/>
    </row>
    <row r="8" spans="1:143" x14ac:dyDescent="0.2">
      <c r="A8" s="286" t="s">
        <v>233</v>
      </c>
      <c r="B8" s="430" t="s">
        <v>178</v>
      </c>
      <c r="C8" s="431" t="s">
        <v>297</v>
      </c>
      <c r="D8" s="280" t="s">
        <v>259</v>
      </c>
      <c r="E8" s="431" t="s">
        <v>392</v>
      </c>
      <c r="F8" s="286" t="s">
        <v>112</v>
      </c>
      <c r="G8" s="431" t="s">
        <v>305</v>
      </c>
      <c r="H8" s="286" t="s">
        <v>303</v>
      </c>
      <c r="I8" s="431" t="s">
        <v>399</v>
      </c>
      <c r="J8" s="286" t="s">
        <v>107</v>
      </c>
      <c r="K8" s="279" t="s">
        <v>499</v>
      </c>
      <c r="L8" s="279" t="s">
        <v>514</v>
      </c>
      <c r="M8" s="2"/>
      <c r="N8" s="241" t="s">
        <v>96</v>
      </c>
      <c r="O8" s="241" t="s">
        <v>113</v>
      </c>
      <c r="P8" s="279" t="s">
        <v>402</v>
      </c>
      <c r="Q8" s="280" t="s">
        <v>135</v>
      </c>
      <c r="R8" s="280" t="s">
        <v>378</v>
      </c>
      <c r="S8" s="279" t="s">
        <v>275</v>
      </c>
      <c r="T8" s="279" t="s">
        <v>370</v>
      </c>
      <c r="U8" s="279" t="s">
        <v>190</v>
      </c>
      <c r="V8" s="279" t="s">
        <v>206</v>
      </c>
      <c r="W8" s="279" t="s">
        <v>530</v>
      </c>
      <c r="X8" s="279" t="s">
        <v>105</v>
      </c>
      <c r="Y8" s="279" t="s">
        <v>518</v>
      </c>
      <c r="Z8" s="1"/>
      <c r="AA8" s="241" t="s">
        <v>231</v>
      </c>
      <c r="AB8" s="286" t="s">
        <v>222</v>
      </c>
      <c r="AC8" s="279" t="s">
        <v>403</v>
      </c>
      <c r="AD8" s="280" t="s">
        <v>314</v>
      </c>
      <c r="AE8" s="280" t="s">
        <v>168</v>
      </c>
      <c r="AF8" s="279" t="s">
        <v>435</v>
      </c>
      <c r="AG8" s="279" t="s">
        <v>280</v>
      </c>
      <c r="AH8" s="279" t="s">
        <v>253</v>
      </c>
      <c r="AI8" s="279" t="s">
        <v>329</v>
      </c>
      <c r="AJ8" s="279" t="s">
        <v>345</v>
      </c>
      <c r="AK8" s="279" t="s">
        <v>452</v>
      </c>
      <c r="AL8" s="279" t="s">
        <v>552</v>
      </c>
      <c r="AM8" s="308"/>
      <c r="AN8" s="279" t="s">
        <v>562</v>
      </c>
      <c r="AO8" s="1"/>
      <c r="AP8" s="241" t="s">
        <v>463</v>
      </c>
      <c r="AQ8" s="241" t="s">
        <v>392</v>
      </c>
      <c r="AR8" s="279" t="s">
        <v>475</v>
      </c>
      <c r="AS8" s="280" t="s">
        <v>282</v>
      </c>
      <c r="AT8" s="280" t="s">
        <v>406</v>
      </c>
      <c r="AU8" s="279" t="s">
        <v>165</v>
      </c>
      <c r="AV8" s="279" t="s">
        <v>191</v>
      </c>
      <c r="AW8" s="279" t="s">
        <v>226</v>
      </c>
      <c r="AX8" s="279" t="s">
        <v>491</v>
      </c>
      <c r="AY8" s="279" t="s">
        <v>577</v>
      </c>
      <c r="AZ8" s="279" t="s">
        <v>589</v>
      </c>
      <c r="BA8" s="279" t="s">
        <v>602</v>
      </c>
      <c r="BB8" s="308" t="s">
        <v>607</v>
      </c>
      <c r="BC8" s="279" t="s">
        <v>533</v>
      </c>
      <c r="BD8" s="287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  <c r="BX8" s="286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  <c r="CO8" s="286"/>
      <c r="CP8" s="286"/>
      <c r="CQ8" s="286"/>
      <c r="CR8" s="286"/>
      <c r="CS8" s="286"/>
      <c r="CT8" s="286"/>
      <c r="CU8" s="286"/>
      <c r="CV8" s="286"/>
      <c r="CW8" s="286"/>
      <c r="CX8" s="286"/>
      <c r="CY8" s="286"/>
      <c r="CZ8" s="286"/>
      <c r="DA8" s="286"/>
      <c r="DB8" s="286"/>
      <c r="DC8" s="286"/>
      <c r="DD8" s="286"/>
      <c r="DE8" s="286"/>
      <c r="DF8" s="286"/>
      <c r="DG8" s="286"/>
      <c r="DH8" s="286"/>
      <c r="DI8" s="286"/>
      <c r="DJ8" s="286"/>
      <c r="DK8" s="286"/>
      <c r="DL8" s="286"/>
      <c r="DM8" s="286"/>
      <c r="DN8" s="286"/>
      <c r="DO8" s="286"/>
      <c r="DP8" s="286"/>
      <c r="DQ8" s="286"/>
      <c r="DR8" s="286"/>
      <c r="DS8" s="286"/>
      <c r="DT8" s="286"/>
      <c r="DU8" s="286"/>
      <c r="DV8" s="286"/>
      <c r="DW8" s="286"/>
      <c r="DX8" s="286"/>
      <c r="DY8" s="286"/>
      <c r="DZ8" s="286"/>
      <c r="EA8" s="286"/>
      <c r="EB8" s="286"/>
      <c r="EC8" s="286"/>
      <c r="ED8" s="286"/>
      <c r="EE8" s="286"/>
      <c r="EF8" s="286"/>
      <c r="EG8" s="286"/>
      <c r="EH8" s="286"/>
      <c r="EI8" s="286"/>
      <c r="EJ8" s="286"/>
      <c r="EK8" s="286"/>
      <c r="EL8" s="286"/>
      <c r="EM8" s="286"/>
    </row>
    <row r="9" spans="1:143" x14ac:dyDescent="0.2">
      <c r="A9" s="286" t="s">
        <v>238</v>
      </c>
      <c r="B9" s="430" t="s">
        <v>242</v>
      </c>
      <c r="C9" s="431" t="s">
        <v>115</v>
      </c>
      <c r="D9" s="280" t="s">
        <v>390</v>
      </c>
      <c r="E9" s="431" t="s">
        <v>131</v>
      </c>
      <c r="F9" s="286" t="s">
        <v>337</v>
      </c>
      <c r="G9" s="431" t="s">
        <v>160</v>
      </c>
      <c r="H9" s="286" t="s">
        <v>396</v>
      </c>
      <c r="I9" s="431" t="s">
        <v>90</v>
      </c>
      <c r="J9" s="286" t="s">
        <v>116</v>
      </c>
      <c r="K9" s="279" t="s">
        <v>500</v>
      </c>
      <c r="L9" s="279" t="s">
        <v>515</v>
      </c>
      <c r="M9" s="2"/>
      <c r="N9" s="241" t="s">
        <v>97</v>
      </c>
      <c r="O9" s="241"/>
      <c r="P9" s="279" t="s">
        <v>210</v>
      </c>
      <c r="Q9" s="280" t="s">
        <v>137</v>
      </c>
      <c r="R9" s="280" t="s">
        <v>148</v>
      </c>
      <c r="S9" s="279" t="s">
        <v>126</v>
      </c>
      <c r="T9" s="279" t="s">
        <v>182</v>
      </c>
      <c r="U9" s="279" t="s">
        <v>313</v>
      </c>
      <c r="V9" s="279" t="s">
        <v>367</v>
      </c>
      <c r="W9" s="279" t="s">
        <v>531</v>
      </c>
      <c r="X9" s="279" t="s">
        <v>108</v>
      </c>
      <c r="Y9" s="279" t="s">
        <v>519</v>
      </c>
      <c r="Z9" s="1"/>
      <c r="AA9" s="241" t="s">
        <v>249</v>
      </c>
      <c r="AB9" s="286" t="s">
        <v>223</v>
      </c>
      <c r="AC9" s="279" t="s">
        <v>279</v>
      </c>
      <c r="AD9" s="280" t="s">
        <v>409</v>
      </c>
      <c r="AE9" s="280" t="s">
        <v>214</v>
      </c>
      <c r="AF9" s="279" t="s">
        <v>436</v>
      </c>
      <c r="AG9" s="279" t="s">
        <v>438</v>
      </c>
      <c r="AH9" s="279" t="s">
        <v>284</v>
      </c>
      <c r="AI9" s="279" t="s">
        <v>331</v>
      </c>
      <c r="AJ9" s="279" t="s">
        <v>348</v>
      </c>
      <c r="AK9" s="279" t="s">
        <v>453</v>
      </c>
      <c r="AL9" s="279" t="s">
        <v>553</v>
      </c>
      <c r="AM9" s="308"/>
      <c r="AN9" s="279" t="s">
        <v>563</v>
      </c>
      <c r="AO9" s="1"/>
      <c r="AP9" s="241" t="s">
        <v>154</v>
      </c>
      <c r="AQ9" s="241" t="s">
        <v>391</v>
      </c>
      <c r="AR9" s="279" t="s">
        <v>476</v>
      </c>
      <c r="AS9" s="280" t="s">
        <v>351</v>
      </c>
      <c r="AT9" s="280" t="s">
        <v>166</v>
      </c>
      <c r="AU9" s="279" t="s">
        <v>169</v>
      </c>
      <c r="AV9" s="279" t="s">
        <v>194</v>
      </c>
      <c r="AW9" s="279" t="s">
        <v>167</v>
      </c>
      <c r="AX9" s="279"/>
      <c r="AY9" s="279" t="s">
        <v>578</v>
      </c>
      <c r="AZ9" s="279" t="s">
        <v>590</v>
      </c>
      <c r="BA9" s="279" t="s">
        <v>603</v>
      </c>
      <c r="BB9" s="308" t="s">
        <v>608</v>
      </c>
      <c r="BC9" s="279" t="s">
        <v>539</v>
      </c>
      <c r="BD9" s="287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6"/>
      <c r="CJ9" s="286"/>
      <c r="CK9" s="286"/>
      <c r="CL9" s="286"/>
      <c r="CM9" s="286"/>
      <c r="CN9" s="286"/>
      <c r="CO9" s="286"/>
      <c r="CP9" s="286"/>
      <c r="CQ9" s="286"/>
      <c r="CR9" s="286"/>
      <c r="CS9" s="286"/>
      <c r="CT9" s="286"/>
      <c r="CU9" s="286"/>
      <c r="CV9" s="286"/>
      <c r="CW9" s="286"/>
      <c r="CX9" s="286"/>
      <c r="CY9" s="286"/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286"/>
      <c r="EJ9" s="286"/>
      <c r="EK9" s="286"/>
      <c r="EL9" s="286"/>
      <c r="EM9" s="286"/>
    </row>
    <row r="10" spans="1:143" x14ac:dyDescent="0.2">
      <c r="A10" s="286" t="s">
        <v>195</v>
      </c>
      <c r="B10" s="430" t="s">
        <v>251</v>
      </c>
      <c r="C10" s="431" t="s">
        <v>266</v>
      </c>
      <c r="D10" s="280" t="s">
        <v>315</v>
      </c>
      <c r="E10" s="431" t="s">
        <v>356</v>
      </c>
      <c r="F10" s="286" t="s">
        <v>329</v>
      </c>
      <c r="G10" s="431" t="s">
        <v>126</v>
      </c>
      <c r="H10" s="286" t="s">
        <v>275</v>
      </c>
      <c r="I10" s="431" t="s">
        <v>93</v>
      </c>
      <c r="J10" s="286" t="s">
        <v>106</v>
      </c>
      <c r="K10" s="279" t="s">
        <v>501</v>
      </c>
      <c r="L10" s="279" t="s">
        <v>516</v>
      </c>
      <c r="M10" s="2"/>
      <c r="N10" s="241" t="s">
        <v>255</v>
      </c>
      <c r="O10" s="241"/>
      <c r="P10" s="279" t="s">
        <v>225</v>
      </c>
      <c r="Q10" s="280" t="s">
        <v>240</v>
      </c>
      <c r="R10" s="280" t="s">
        <v>379</v>
      </c>
      <c r="S10" s="279" t="s">
        <v>278</v>
      </c>
      <c r="T10" s="279" t="s">
        <v>183</v>
      </c>
      <c r="U10" s="279" t="s">
        <v>188</v>
      </c>
      <c r="V10" s="279" t="s">
        <v>368</v>
      </c>
      <c r="W10" s="279" t="s">
        <v>532</v>
      </c>
      <c r="X10" s="279"/>
      <c r="Y10" s="279" t="s">
        <v>520</v>
      </c>
      <c r="Z10" s="1"/>
      <c r="AA10" s="241" t="s">
        <v>100</v>
      </c>
      <c r="AB10" s="286" t="s">
        <v>427</v>
      </c>
      <c r="AC10" s="279" t="s">
        <v>428</v>
      </c>
      <c r="AD10" s="280" t="s">
        <v>309</v>
      </c>
      <c r="AE10" s="280" t="s">
        <v>308</v>
      </c>
      <c r="AF10" s="279" t="s">
        <v>437</v>
      </c>
      <c r="AG10" s="279" t="s">
        <v>439</v>
      </c>
      <c r="AH10" s="279" t="s">
        <v>335</v>
      </c>
      <c r="AI10" s="279" t="s">
        <v>442</v>
      </c>
      <c r="AJ10" s="279" t="s">
        <v>123</v>
      </c>
      <c r="AK10" s="279" t="s">
        <v>454</v>
      </c>
      <c r="AL10" s="279" t="s">
        <v>554</v>
      </c>
      <c r="AM10" s="308"/>
      <c r="AN10" s="279" t="s">
        <v>564</v>
      </c>
      <c r="AO10" s="1"/>
      <c r="AP10" s="241" t="s">
        <v>464</v>
      </c>
      <c r="AQ10" s="241" t="s">
        <v>468</v>
      </c>
      <c r="AR10" s="279" t="s">
        <v>477</v>
      </c>
      <c r="AS10" s="280" t="s">
        <v>248</v>
      </c>
      <c r="AT10" s="280" t="s">
        <v>407</v>
      </c>
      <c r="AU10" s="279" t="s">
        <v>364</v>
      </c>
      <c r="AV10" s="279" t="s">
        <v>187</v>
      </c>
      <c r="AW10" s="279" t="s">
        <v>318</v>
      </c>
      <c r="AX10" s="279"/>
      <c r="AY10" s="279" t="s">
        <v>579</v>
      </c>
      <c r="AZ10" s="279" t="s">
        <v>591</v>
      </c>
      <c r="BA10" s="279" t="s">
        <v>604</v>
      </c>
      <c r="BB10" s="308" t="s">
        <v>609</v>
      </c>
      <c r="BC10" s="279" t="s">
        <v>538</v>
      </c>
      <c r="BD10" s="287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286"/>
      <c r="EJ10" s="286"/>
      <c r="EK10" s="286"/>
      <c r="EL10" s="286"/>
      <c r="EM10" s="286"/>
    </row>
    <row r="11" spans="1:143" x14ac:dyDescent="0.2">
      <c r="A11" s="286" t="s">
        <v>345</v>
      </c>
      <c r="B11" s="430" t="s">
        <v>235</v>
      </c>
      <c r="C11" s="431" t="s">
        <v>363</v>
      </c>
      <c r="D11" s="280" t="s">
        <v>391</v>
      </c>
      <c r="E11" s="280"/>
      <c r="F11" s="286" t="s">
        <v>151</v>
      </c>
      <c r="G11" s="431" t="s">
        <v>124</v>
      </c>
      <c r="H11" s="286" t="s">
        <v>278</v>
      </c>
      <c r="I11" s="431" t="s">
        <v>268</v>
      </c>
      <c r="J11" s="286" t="s">
        <v>118</v>
      </c>
      <c r="K11" s="279" t="s">
        <v>502</v>
      </c>
      <c r="L11" s="279" t="s">
        <v>517</v>
      </c>
      <c r="M11" s="2"/>
      <c r="N11" s="241" t="s">
        <v>231</v>
      </c>
      <c r="O11" s="241"/>
      <c r="P11" s="279" t="s">
        <v>220</v>
      </c>
      <c r="Q11" s="280" t="s">
        <v>208</v>
      </c>
      <c r="R11" s="280" t="s">
        <v>152</v>
      </c>
      <c r="S11" s="279" t="s">
        <v>124</v>
      </c>
      <c r="T11" s="279" t="s">
        <v>374</v>
      </c>
      <c r="U11" s="279" t="s">
        <v>316</v>
      </c>
      <c r="V11" s="279" t="s">
        <v>542</v>
      </c>
      <c r="W11" s="279" t="s">
        <v>533</v>
      </c>
      <c r="X11" s="279"/>
      <c r="Y11" s="279" t="s">
        <v>541</v>
      </c>
      <c r="Z11" s="1"/>
      <c r="AA11" s="241" t="s">
        <v>424</v>
      </c>
      <c r="AB11" s="286" t="s">
        <v>216</v>
      </c>
      <c r="AC11" s="279" t="s">
        <v>209</v>
      </c>
      <c r="AD11" s="280" t="s">
        <v>430</v>
      </c>
      <c r="AE11" s="280" t="s">
        <v>307</v>
      </c>
      <c r="AF11" s="279"/>
      <c r="AG11" s="279" t="s">
        <v>440</v>
      </c>
      <c r="AH11" s="279" t="s">
        <v>250</v>
      </c>
      <c r="AI11" s="279" t="s">
        <v>333</v>
      </c>
      <c r="AJ11" s="279" t="s">
        <v>185</v>
      </c>
      <c r="AK11" s="279"/>
      <c r="AL11" s="279" t="s">
        <v>252</v>
      </c>
      <c r="AM11" s="308"/>
      <c r="AN11" s="279" t="s">
        <v>543</v>
      </c>
      <c r="AO11" s="1"/>
      <c r="AP11" s="241" t="s">
        <v>465</v>
      </c>
      <c r="AQ11" s="241" t="s">
        <v>132</v>
      </c>
      <c r="AR11" s="279" t="s">
        <v>478</v>
      </c>
      <c r="AS11" s="280" t="s">
        <v>340</v>
      </c>
      <c r="AT11" s="280" t="s">
        <v>408</v>
      </c>
      <c r="AU11" s="279" t="s">
        <v>366</v>
      </c>
      <c r="AV11" s="279" t="s">
        <v>375</v>
      </c>
      <c r="AW11" s="279" t="s">
        <v>484</v>
      </c>
      <c r="AX11" s="279"/>
      <c r="AY11" s="279" t="s">
        <v>580</v>
      </c>
      <c r="AZ11" s="279" t="s">
        <v>592</v>
      </c>
      <c r="BA11" s="279" t="s">
        <v>605</v>
      </c>
      <c r="BB11" s="308" t="s">
        <v>610</v>
      </c>
      <c r="BC11" s="279" t="s">
        <v>535</v>
      </c>
      <c r="BD11" s="287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286"/>
      <c r="CK11" s="286"/>
      <c r="CL11" s="286"/>
      <c r="CM11" s="286"/>
      <c r="CN11" s="286"/>
      <c r="CO11" s="286"/>
      <c r="CP11" s="286"/>
      <c r="CQ11" s="286"/>
      <c r="CR11" s="286"/>
      <c r="CS11" s="286"/>
      <c r="CT11" s="286"/>
      <c r="CU11" s="286"/>
      <c r="CV11" s="286"/>
      <c r="CW11" s="286"/>
      <c r="CX11" s="286"/>
      <c r="CY11" s="286"/>
      <c r="CZ11" s="286"/>
      <c r="DA11" s="286"/>
      <c r="DB11" s="286"/>
      <c r="DC11" s="286"/>
      <c r="DD11" s="286"/>
      <c r="DE11" s="286"/>
      <c r="DF11" s="286"/>
      <c r="DG11" s="286"/>
      <c r="DH11" s="286"/>
      <c r="DI11" s="286"/>
      <c r="DJ11" s="286"/>
      <c r="DK11" s="286"/>
      <c r="DL11" s="286"/>
      <c r="DM11" s="286"/>
      <c r="DN11" s="286"/>
      <c r="DO11" s="286"/>
      <c r="DP11" s="286"/>
      <c r="DQ11" s="286"/>
      <c r="DR11" s="286"/>
      <c r="DS11" s="286"/>
      <c r="DT11" s="286"/>
      <c r="DU11" s="286"/>
      <c r="DV11" s="286"/>
      <c r="DW11" s="286"/>
      <c r="DX11" s="286"/>
      <c r="DY11" s="286"/>
      <c r="DZ11" s="286"/>
      <c r="EA11" s="286"/>
      <c r="EB11" s="286"/>
      <c r="EC11" s="286"/>
      <c r="ED11" s="286"/>
      <c r="EE11" s="286"/>
      <c r="EF11" s="286"/>
      <c r="EG11" s="286"/>
      <c r="EH11" s="286"/>
      <c r="EI11" s="286"/>
      <c r="EJ11" s="286"/>
      <c r="EK11" s="286"/>
      <c r="EL11" s="286"/>
      <c r="EM11" s="286"/>
    </row>
    <row r="12" spans="1:143" x14ac:dyDescent="0.2">
      <c r="A12" s="286" t="s">
        <v>385</v>
      </c>
      <c r="B12" s="430" t="s">
        <v>262</v>
      </c>
      <c r="C12" s="431" t="s">
        <v>113</v>
      </c>
      <c r="D12" s="280"/>
      <c r="E12" s="280"/>
      <c r="F12" s="286" t="s">
        <v>332</v>
      </c>
      <c r="G12" s="431" t="s">
        <v>311</v>
      </c>
      <c r="H12" s="286" t="s">
        <v>128</v>
      </c>
      <c r="I12" s="431" t="s">
        <v>267</v>
      </c>
      <c r="J12" s="286" t="s">
        <v>296</v>
      </c>
      <c r="K12" s="279" t="s">
        <v>503</v>
      </c>
      <c r="L12" s="279" t="s">
        <v>518</v>
      </c>
      <c r="M12" s="2"/>
      <c r="N12" s="241" t="s">
        <v>99</v>
      </c>
      <c r="O12" s="241"/>
      <c r="P12" s="279" t="s">
        <v>222</v>
      </c>
      <c r="Q12" s="280" t="s">
        <v>403</v>
      </c>
      <c r="R12" s="280" t="s">
        <v>406</v>
      </c>
      <c r="S12" s="279" t="s">
        <v>160</v>
      </c>
      <c r="T12" s="279" t="s">
        <v>180</v>
      </c>
      <c r="U12" s="279" t="s">
        <v>310</v>
      </c>
      <c r="V12" s="279" t="s">
        <v>543</v>
      </c>
      <c r="W12" s="279" t="s">
        <v>534</v>
      </c>
      <c r="X12" s="279"/>
      <c r="Y12" s="279"/>
      <c r="Z12" s="1"/>
      <c r="AA12" s="241" t="s">
        <v>101</v>
      </c>
      <c r="AB12" s="286" t="s">
        <v>217</v>
      </c>
      <c r="AC12" s="279" t="s">
        <v>429</v>
      </c>
      <c r="AD12" s="280" t="s">
        <v>431</v>
      </c>
      <c r="AE12" s="280" t="s">
        <v>433</v>
      </c>
      <c r="AF12" s="279"/>
      <c r="AG12" s="279"/>
      <c r="AH12" s="279" t="s">
        <v>285</v>
      </c>
      <c r="AI12" s="279" t="s">
        <v>443</v>
      </c>
      <c r="AJ12" s="279" t="s">
        <v>341</v>
      </c>
      <c r="AK12" s="279"/>
      <c r="AL12" s="279" t="s">
        <v>555</v>
      </c>
      <c r="AM12" s="308"/>
      <c r="AN12" s="279" t="s">
        <v>565</v>
      </c>
      <c r="AO12" s="1"/>
      <c r="AP12" s="241" t="s">
        <v>466</v>
      </c>
      <c r="AQ12" s="241" t="s">
        <v>131</v>
      </c>
      <c r="AR12" s="279"/>
      <c r="AS12" s="280" t="s">
        <v>344</v>
      </c>
      <c r="AT12" s="280"/>
      <c r="AU12" s="279" t="s">
        <v>479</v>
      </c>
      <c r="AV12" s="279" t="s">
        <v>376</v>
      </c>
      <c r="AW12" s="279" t="s">
        <v>161</v>
      </c>
      <c r="AX12" s="279"/>
      <c r="AY12" s="279" t="s">
        <v>581</v>
      </c>
      <c r="AZ12" s="279" t="s">
        <v>593</v>
      </c>
      <c r="BA12" s="279" t="s">
        <v>606</v>
      </c>
      <c r="BB12" s="308" t="s">
        <v>611</v>
      </c>
      <c r="BC12" s="279" t="s">
        <v>531</v>
      </c>
      <c r="BD12" s="287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286"/>
      <c r="CK12" s="286"/>
      <c r="CL12" s="286"/>
      <c r="CM12" s="286"/>
      <c r="CN12" s="286"/>
      <c r="CO12" s="286"/>
      <c r="CP12" s="286"/>
      <c r="CQ12" s="286"/>
      <c r="CR12" s="286"/>
      <c r="CS12" s="286"/>
      <c r="CT12" s="286"/>
      <c r="CU12" s="286"/>
      <c r="CV12" s="286"/>
      <c r="CW12" s="286"/>
      <c r="CX12" s="286"/>
      <c r="CY12" s="286"/>
      <c r="CZ12" s="286"/>
      <c r="DA12" s="286"/>
      <c r="DB12" s="286"/>
      <c r="DC12" s="286"/>
      <c r="DD12" s="286"/>
      <c r="DE12" s="286"/>
      <c r="DF12" s="286"/>
      <c r="DG12" s="286"/>
      <c r="DH12" s="286"/>
      <c r="DI12" s="286"/>
      <c r="DJ12" s="286"/>
      <c r="DK12" s="286"/>
      <c r="DL12" s="286"/>
      <c r="DM12" s="286"/>
      <c r="DN12" s="286"/>
      <c r="DO12" s="286"/>
      <c r="DP12" s="286"/>
      <c r="DQ12" s="286"/>
      <c r="DR12" s="286"/>
      <c r="DS12" s="286"/>
      <c r="DT12" s="286"/>
      <c r="DU12" s="286"/>
      <c r="DV12" s="286"/>
      <c r="DW12" s="286"/>
      <c r="DX12" s="286"/>
      <c r="DY12" s="286"/>
      <c r="DZ12" s="286"/>
      <c r="EA12" s="286"/>
      <c r="EB12" s="286"/>
      <c r="EC12" s="286"/>
      <c r="ED12" s="286"/>
      <c r="EE12" s="286"/>
      <c r="EF12" s="286"/>
      <c r="EG12" s="286"/>
      <c r="EH12" s="286"/>
      <c r="EI12" s="286"/>
      <c r="EJ12" s="286"/>
      <c r="EK12" s="286"/>
      <c r="EL12" s="286"/>
      <c r="EM12" s="286"/>
    </row>
    <row r="13" spans="1:143" x14ac:dyDescent="0.2">
      <c r="A13" s="286" t="s">
        <v>123</v>
      </c>
      <c r="B13" s="430" t="s">
        <v>241</v>
      </c>
      <c r="C13" s="279"/>
      <c r="D13" s="280"/>
      <c r="E13" s="280"/>
      <c r="F13" s="286" t="s">
        <v>331</v>
      </c>
      <c r="G13" s="279"/>
      <c r="H13" s="286" t="s">
        <v>127</v>
      </c>
      <c r="I13" s="431" t="s">
        <v>164</v>
      </c>
      <c r="J13" s="286" t="s">
        <v>105</v>
      </c>
      <c r="K13" s="279" t="s">
        <v>504</v>
      </c>
      <c r="L13" s="279" t="s">
        <v>519</v>
      </c>
      <c r="M13" s="2"/>
      <c r="N13" s="241" t="s">
        <v>100</v>
      </c>
      <c r="O13" s="241"/>
      <c r="P13" s="279" t="s">
        <v>223</v>
      </c>
      <c r="Q13" s="280"/>
      <c r="R13" s="280" t="s">
        <v>166</v>
      </c>
      <c r="S13" s="279" t="s">
        <v>311</v>
      </c>
      <c r="T13" s="279" t="s">
        <v>191</v>
      </c>
      <c r="U13" s="279" t="s">
        <v>413</v>
      </c>
      <c r="V13" s="279"/>
      <c r="W13" s="279" t="s">
        <v>535</v>
      </c>
      <c r="X13" s="279"/>
      <c r="Y13" s="279"/>
      <c r="Z13" s="1"/>
      <c r="AA13" s="241"/>
      <c r="AB13" s="286" t="s">
        <v>426</v>
      </c>
      <c r="AC13" s="279"/>
      <c r="AD13" s="280" t="s">
        <v>432</v>
      </c>
      <c r="AE13" s="280" t="s">
        <v>434</v>
      </c>
      <c r="AF13" s="279"/>
      <c r="AG13" s="279"/>
      <c r="AH13" s="279" t="s">
        <v>334</v>
      </c>
      <c r="AI13" s="279" t="s">
        <v>444</v>
      </c>
      <c r="AJ13" s="279" t="s">
        <v>386</v>
      </c>
      <c r="AK13" s="279"/>
      <c r="AL13" s="279" t="s">
        <v>556</v>
      </c>
      <c r="AM13" s="308"/>
      <c r="AN13" s="279" t="s">
        <v>566</v>
      </c>
      <c r="AO13" s="1"/>
      <c r="AP13" s="241" t="s">
        <v>467</v>
      </c>
      <c r="AQ13" s="241" t="s">
        <v>469</v>
      </c>
      <c r="AR13" s="279"/>
      <c r="AS13" s="280" t="s">
        <v>342</v>
      </c>
      <c r="AT13" s="280"/>
      <c r="AU13" s="279" t="s">
        <v>480</v>
      </c>
      <c r="AV13" s="279" t="s">
        <v>373</v>
      </c>
      <c r="AW13" s="279" t="s">
        <v>227</v>
      </c>
      <c r="AX13" s="279"/>
      <c r="AY13" s="279" t="s">
        <v>582</v>
      </c>
      <c r="AZ13" s="279" t="s">
        <v>594</v>
      </c>
      <c r="BA13" s="279"/>
      <c r="BB13" s="308" t="s">
        <v>612</v>
      </c>
      <c r="BC13" s="279"/>
      <c r="BD13" s="287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286"/>
      <c r="CK13" s="286"/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286"/>
      <c r="DD13" s="286"/>
      <c r="DE13" s="286"/>
      <c r="DF13" s="286"/>
      <c r="DG13" s="286"/>
      <c r="DH13" s="286"/>
      <c r="DI13" s="286"/>
      <c r="DJ13" s="286"/>
      <c r="DK13" s="286"/>
      <c r="DL13" s="286"/>
      <c r="DM13" s="286"/>
      <c r="DN13" s="286"/>
      <c r="DO13" s="286"/>
      <c r="DP13" s="286"/>
      <c r="DQ13" s="286"/>
      <c r="DR13" s="286"/>
      <c r="DS13" s="286"/>
      <c r="DT13" s="286"/>
      <c r="DU13" s="286"/>
      <c r="DV13" s="286"/>
      <c r="DW13" s="286"/>
      <c r="DX13" s="286"/>
      <c r="DY13" s="286"/>
      <c r="DZ13" s="286"/>
      <c r="EA13" s="286"/>
      <c r="EB13" s="286"/>
      <c r="EC13" s="286"/>
      <c r="ED13" s="286"/>
      <c r="EE13" s="286"/>
      <c r="EF13" s="286"/>
      <c r="EG13" s="286"/>
      <c r="EH13" s="286"/>
      <c r="EI13" s="286"/>
      <c r="EJ13" s="286"/>
      <c r="EK13" s="286"/>
      <c r="EL13" s="286"/>
      <c r="EM13" s="286"/>
    </row>
    <row r="14" spans="1:143" x14ac:dyDescent="0.2">
      <c r="A14" s="286" t="s">
        <v>348</v>
      </c>
      <c r="B14" s="430" t="s">
        <v>252</v>
      </c>
      <c r="C14" s="279"/>
      <c r="D14" s="280"/>
      <c r="E14" s="280"/>
      <c r="F14" s="286" t="s">
        <v>336</v>
      </c>
      <c r="G14" s="279"/>
      <c r="H14" s="286" t="s">
        <v>125</v>
      </c>
      <c r="I14" s="431" t="s">
        <v>398</v>
      </c>
      <c r="J14" s="286" t="s">
        <v>108</v>
      </c>
      <c r="K14" s="279" t="s">
        <v>505</v>
      </c>
      <c r="L14" s="279" t="s">
        <v>520</v>
      </c>
      <c r="M14" s="2"/>
      <c r="N14" s="241"/>
      <c r="O14" s="279"/>
      <c r="P14" s="279" t="s">
        <v>216</v>
      </c>
      <c r="Q14" s="280"/>
      <c r="R14" s="280" t="s">
        <v>407</v>
      </c>
      <c r="S14" s="279" t="s">
        <v>214</v>
      </c>
      <c r="T14" s="279" t="s">
        <v>194</v>
      </c>
      <c r="U14" s="279" t="s">
        <v>414</v>
      </c>
      <c r="V14" s="279"/>
      <c r="W14" s="279" t="s">
        <v>536</v>
      </c>
      <c r="X14" s="279"/>
      <c r="Y14" s="279"/>
      <c r="Z14" s="1"/>
      <c r="AA14" s="241"/>
      <c r="AB14" s="286" t="s">
        <v>425</v>
      </c>
      <c r="AC14" s="279"/>
      <c r="AD14" s="280"/>
      <c r="AE14" s="280"/>
      <c r="AF14" s="279"/>
      <c r="AG14" s="279"/>
      <c r="AH14" s="279" t="s">
        <v>441</v>
      </c>
      <c r="AI14" s="279" t="s">
        <v>445</v>
      </c>
      <c r="AJ14" s="279" t="s">
        <v>449</v>
      </c>
      <c r="AK14" s="279"/>
      <c r="AL14" s="279" t="s">
        <v>557</v>
      </c>
      <c r="AM14" s="308"/>
      <c r="AN14" s="279"/>
      <c r="AO14" s="1"/>
      <c r="AP14" s="241" t="s">
        <v>277</v>
      </c>
      <c r="AQ14" s="279" t="s">
        <v>470</v>
      </c>
      <c r="AR14" s="279"/>
      <c r="AS14" s="280" t="s">
        <v>245</v>
      </c>
      <c r="AT14" s="280"/>
      <c r="AU14" s="279" t="s">
        <v>162</v>
      </c>
      <c r="AV14" s="279" t="s">
        <v>377</v>
      </c>
      <c r="AW14" s="279" t="s">
        <v>142</v>
      </c>
      <c r="AX14" s="279"/>
      <c r="AY14" s="279" t="s">
        <v>583</v>
      </c>
      <c r="AZ14" s="279" t="s">
        <v>595</v>
      </c>
      <c r="BA14" s="279"/>
      <c r="BB14" s="308"/>
      <c r="BC14" s="279"/>
      <c r="BD14" s="287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286"/>
      <c r="CK14" s="286"/>
      <c r="CL14" s="286"/>
      <c r="CM14" s="286"/>
      <c r="CN14" s="286"/>
      <c r="CO14" s="286"/>
      <c r="CP14" s="286"/>
      <c r="CQ14" s="286"/>
      <c r="CR14" s="286"/>
      <c r="CS14" s="286"/>
      <c r="CT14" s="286"/>
      <c r="CU14" s="286"/>
      <c r="CV14" s="286"/>
      <c r="CW14" s="286"/>
      <c r="CX14" s="286"/>
      <c r="CY14" s="286"/>
      <c r="CZ14" s="286"/>
      <c r="DA14" s="286"/>
      <c r="DB14" s="286"/>
      <c r="DC14" s="286"/>
      <c r="DD14" s="286"/>
      <c r="DE14" s="286"/>
      <c r="DF14" s="286"/>
      <c r="DG14" s="286"/>
      <c r="DH14" s="286"/>
      <c r="DI14" s="286"/>
      <c r="DJ14" s="286"/>
      <c r="DK14" s="286"/>
      <c r="DL14" s="286"/>
      <c r="DM14" s="286"/>
      <c r="DN14" s="286"/>
      <c r="DO14" s="286"/>
      <c r="DP14" s="286"/>
      <c r="DQ14" s="286"/>
      <c r="DR14" s="286"/>
      <c r="DS14" s="286"/>
      <c r="DT14" s="286"/>
      <c r="DU14" s="286"/>
      <c r="DV14" s="286"/>
      <c r="DW14" s="286"/>
      <c r="DX14" s="286"/>
      <c r="DY14" s="286"/>
      <c r="DZ14" s="286"/>
      <c r="EA14" s="286"/>
      <c r="EB14" s="286"/>
      <c r="EC14" s="286"/>
      <c r="ED14" s="286"/>
      <c r="EE14" s="286"/>
      <c r="EF14" s="286"/>
      <c r="EG14" s="286"/>
      <c r="EH14" s="286"/>
      <c r="EI14" s="286"/>
      <c r="EJ14" s="286"/>
      <c r="EK14" s="286"/>
      <c r="EL14" s="286"/>
      <c r="EM14" s="286"/>
    </row>
    <row r="15" spans="1:143" x14ac:dyDescent="0.2">
      <c r="A15" s="286" t="s">
        <v>341</v>
      </c>
      <c r="B15" s="279"/>
      <c r="C15" s="279"/>
      <c r="D15" s="280"/>
      <c r="E15" s="280"/>
      <c r="F15" s="279"/>
      <c r="G15" s="279"/>
      <c r="H15" s="279"/>
      <c r="I15" s="279"/>
      <c r="J15" s="279"/>
      <c r="K15" s="279" t="s">
        <v>506</v>
      </c>
      <c r="L15" s="279"/>
      <c r="M15" s="2"/>
      <c r="N15" s="241"/>
      <c r="O15" s="279"/>
      <c r="P15" s="279"/>
      <c r="Q15" s="280"/>
      <c r="R15" s="280" t="s">
        <v>408</v>
      </c>
      <c r="S15" s="279" t="s">
        <v>168</v>
      </c>
      <c r="T15" s="279" t="s">
        <v>187</v>
      </c>
      <c r="U15" s="279"/>
      <c r="V15" s="279"/>
      <c r="W15" s="279" t="s">
        <v>537</v>
      </c>
      <c r="X15" s="279"/>
      <c r="Y15" s="279"/>
      <c r="Z15" s="1"/>
      <c r="AA15" s="241"/>
      <c r="AB15" s="286" t="s">
        <v>170</v>
      </c>
      <c r="AC15" s="279"/>
      <c r="AD15" s="280"/>
      <c r="AE15" s="280"/>
      <c r="AF15" s="279"/>
      <c r="AG15" s="279"/>
      <c r="AH15" s="279"/>
      <c r="AI15" s="279" t="s">
        <v>446</v>
      </c>
      <c r="AJ15" s="279" t="s">
        <v>450</v>
      </c>
      <c r="AK15" s="279"/>
      <c r="AL15" s="279" t="s">
        <v>558</v>
      </c>
      <c r="AM15" s="308"/>
      <c r="AN15" s="279"/>
      <c r="AO15" s="1"/>
      <c r="AP15" s="241"/>
      <c r="AQ15" s="279" t="s">
        <v>471</v>
      </c>
      <c r="AR15" s="279"/>
      <c r="AS15" s="280" t="s">
        <v>256</v>
      </c>
      <c r="AT15" s="280"/>
      <c r="AU15" s="279" t="s">
        <v>365</v>
      </c>
      <c r="AV15" s="279" t="s">
        <v>371</v>
      </c>
      <c r="AW15" s="279" t="s">
        <v>485</v>
      </c>
      <c r="AX15" s="279"/>
      <c r="AY15" s="279"/>
      <c r="AZ15" s="279" t="s">
        <v>596</v>
      </c>
      <c r="BA15" s="279"/>
      <c r="BB15" s="308"/>
      <c r="BC15" s="279"/>
      <c r="BD15" s="287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286"/>
      <c r="CK15" s="286"/>
      <c r="CL15" s="286"/>
      <c r="CM15" s="286"/>
      <c r="CN15" s="286"/>
      <c r="CO15" s="286"/>
      <c r="CP15" s="286"/>
      <c r="CQ15" s="286"/>
      <c r="CR15" s="286"/>
      <c r="CS15" s="286"/>
      <c r="CT15" s="286"/>
      <c r="CU15" s="286"/>
      <c r="CV15" s="286"/>
      <c r="CW15" s="286"/>
      <c r="CX15" s="286"/>
      <c r="CY15" s="286"/>
      <c r="CZ15" s="286"/>
      <c r="DA15" s="286"/>
      <c r="DB15" s="286"/>
      <c r="DC15" s="286"/>
      <c r="DD15" s="286"/>
      <c r="DE15" s="286"/>
      <c r="DF15" s="286"/>
      <c r="DG15" s="286"/>
      <c r="DH15" s="286"/>
      <c r="DI15" s="286"/>
      <c r="DJ15" s="286"/>
      <c r="DK15" s="286"/>
      <c r="DL15" s="286"/>
      <c r="DM15" s="286"/>
      <c r="DN15" s="286"/>
      <c r="DO15" s="286"/>
      <c r="DP15" s="286"/>
      <c r="DQ15" s="286"/>
      <c r="DR15" s="286"/>
      <c r="DS15" s="286"/>
      <c r="DT15" s="286"/>
      <c r="DU15" s="286"/>
      <c r="DV15" s="286"/>
      <c r="DW15" s="286"/>
      <c r="DX15" s="286"/>
      <c r="DY15" s="286"/>
      <c r="DZ15" s="286"/>
      <c r="EA15" s="286"/>
      <c r="EB15" s="286"/>
      <c r="EC15" s="286"/>
      <c r="ED15" s="286"/>
      <c r="EE15" s="286"/>
      <c r="EF15" s="286"/>
      <c r="EG15" s="286"/>
      <c r="EH15" s="286"/>
      <c r="EI15" s="286"/>
      <c r="EJ15" s="286"/>
      <c r="EK15" s="286"/>
      <c r="EL15" s="286"/>
      <c r="EM15" s="286"/>
    </row>
    <row r="16" spans="1:143" x14ac:dyDescent="0.2">
      <c r="A16" s="286" t="s">
        <v>386</v>
      </c>
      <c r="B16" s="279"/>
      <c r="C16" s="279"/>
      <c r="D16" s="280"/>
      <c r="E16" s="280"/>
      <c r="F16" s="279"/>
      <c r="G16" s="279"/>
      <c r="H16" s="279"/>
      <c r="I16" s="279"/>
      <c r="J16" s="279"/>
      <c r="K16" s="279" t="s">
        <v>507</v>
      </c>
      <c r="L16" s="279"/>
      <c r="M16" s="2"/>
      <c r="N16" s="241"/>
      <c r="O16" s="279"/>
      <c r="P16" s="279"/>
      <c r="Q16" s="280"/>
      <c r="R16" s="280"/>
      <c r="S16" s="279" t="s">
        <v>127</v>
      </c>
      <c r="T16" s="279" t="s">
        <v>375</v>
      </c>
      <c r="U16" s="279"/>
      <c r="V16" s="279"/>
      <c r="W16" s="279" t="s">
        <v>538</v>
      </c>
      <c r="X16" s="279"/>
      <c r="Y16" s="279"/>
      <c r="Z16" s="1"/>
      <c r="AA16" s="241"/>
      <c r="AB16" s="279"/>
      <c r="AC16" s="279"/>
      <c r="AD16" s="280"/>
      <c r="AE16" s="280"/>
      <c r="AF16" s="279"/>
      <c r="AG16" s="279"/>
      <c r="AH16" s="279"/>
      <c r="AI16" s="279" t="s">
        <v>447</v>
      </c>
      <c r="AJ16" s="279" t="s">
        <v>192</v>
      </c>
      <c r="AK16" s="279"/>
      <c r="AL16" s="279" t="s">
        <v>559</v>
      </c>
      <c r="AM16" s="308"/>
      <c r="AN16" s="279"/>
      <c r="AO16" s="1"/>
      <c r="AP16" s="241"/>
      <c r="AQ16" s="279" t="s">
        <v>264</v>
      </c>
      <c r="AR16" s="279"/>
      <c r="AS16" s="280" t="s">
        <v>254</v>
      </c>
      <c r="AT16" s="280"/>
      <c r="AU16" s="279" t="s">
        <v>481</v>
      </c>
      <c r="AV16" s="279" t="s">
        <v>372</v>
      </c>
      <c r="AW16" s="279" t="s">
        <v>157</v>
      </c>
      <c r="AX16" s="279"/>
      <c r="AY16" s="279"/>
      <c r="AZ16" s="279"/>
      <c r="BA16" s="279"/>
      <c r="BB16" s="308"/>
      <c r="BC16" s="279"/>
      <c r="BD16" s="287"/>
      <c r="BE16" s="286"/>
      <c r="BF16" s="286"/>
      <c r="BG16" s="286"/>
      <c r="BH16" s="286"/>
      <c r="BI16" s="286"/>
      <c r="BJ16" s="286"/>
      <c r="BK16" s="286"/>
      <c r="BL16" s="286"/>
      <c r="BM16" s="286"/>
      <c r="BN16" s="286"/>
      <c r="BO16" s="286"/>
      <c r="BP16" s="286"/>
      <c r="BQ16" s="286"/>
      <c r="BR16" s="286"/>
      <c r="BS16" s="286"/>
      <c r="BT16" s="286"/>
      <c r="BU16" s="286"/>
      <c r="BV16" s="286"/>
      <c r="BW16" s="286"/>
      <c r="BX16" s="286"/>
      <c r="BY16" s="286"/>
      <c r="BZ16" s="286"/>
      <c r="CA16" s="286"/>
      <c r="CB16" s="286"/>
      <c r="CC16" s="286"/>
      <c r="CD16" s="286"/>
      <c r="CE16" s="286"/>
      <c r="CF16" s="286"/>
      <c r="CG16" s="286"/>
      <c r="CH16" s="286"/>
      <c r="CI16" s="286"/>
      <c r="CJ16" s="286"/>
      <c r="CK16" s="286"/>
      <c r="CL16" s="286"/>
      <c r="CM16" s="286"/>
      <c r="CN16" s="286"/>
      <c r="CO16" s="286"/>
      <c r="CP16" s="286"/>
      <c r="CQ16" s="286"/>
      <c r="CR16" s="286"/>
      <c r="CS16" s="286"/>
      <c r="CT16" s="286"/>
      <c r="CU16" s="286"/>
      <c r="CV16" s="286"/>
      <c r="CW16" s="286"/>
      <c r="CX16" s="286"/>
      <c r="CY16" s="286"/>
      <c r="CZ16" s="286"/>
      <c r="DA16" s="286"/>
      <c r="DB16" s="286"/>
      <c r="DC16" s="286"/>
      <c r="DD16" s="286"/>
      <c r="DE16" s="286"/>
      <c r="DF16" s="286"/>
      <c r="DG16" s="286"/>
      <c r="DH16" s="286"/>
      <c r="DI16" s="286"/>
      <c r="DJ16" s="286"/>
      <c r="DK16" s="286"/>
      <c r="DL16" s="286"/>
      <c r="DM16" s="286"/>
      <c r="DN16" s="286"/>
      <c r="DO16" s="286"/>
      <c r="DP16" s="286"/>
      <c r="DQ16" s="286"/>
      <c r="DR16" s="286"/>
      <c r="DS16" s="286"/>
      <c r="DT16" s="286"/>
      <c r="DU16" s="286"/>
      <c r="DV16" s="286"/>
      <c r="DW16" s="286"/>
      <c r="DX16" s="286"/>
      <c r="DY16" s="286"/>
      <c r="DZ16" s="286"/>
      <c r="EA16" s="286"/>
      <c r="EB16" s="286"/>
      <c r="EC16" s="286"/>
      <c r="ED16" s="286"/>
      <c r="EE16" s="286"/>
      <c r="EF16" s="286"/>
      <c r="EG16" s="286"/>
      <c r="EH16" s="286"/>
      <c r="EI16" s="286"/>
      <c r="EJ16" s="286"/>
      <c r="EK16" s="286"/>
      <c r="EL16" s="286"/>
      <c r="EM16" s="286"/>
    </row>
    <row r="17" spans="1:143" x14ac:dyDescent="0.2">
      <c r="A17" s="241"/>
      <c r="B17" s="279"/>
      <c r="C17" s="279"/>
      <c r="D17" s="280"/>
      <c r="E17" s="280"/>
      <c r="F17" s="279"/>
      <c r="G17" s="279"/>
      <c r="H17" s="279"/>
      <c r="I17" s="279"/>
      <c r="J17" s="279"/>
      <c r="K17" s="279" t="s">
        <v>508</v>
      </c>
      <c r="L17" s="279"/>
      <c r="M17" s="2"/>
      <c r="N17" s="241"/>
      <c r="O17" s="279"/>
      <c r="P17" s="279"/>
      <c r="Q17" s="280"/>
      <c r="R17" s="280"/>
      <c r="S17" s="279" t="s">
        <v>312</v>
      </c>
      <c r="T17" s="279" t="s">
        <v>376</v>
      </c>
      <c r="U17" s="279"/>
      <c r="V17" s="279"/>
      <c r="W17" s="279" t="s">
        <v>539</v>
      </c>
      <c r="X17" s="279"/>
      <c r="Y17" s="279"/>
      <c r="Z17" s="1"/>
      <c r="AA17" s="241"/>
      <c r="AB17" s="279"/>
      <c r="AC17" s="279"/>
      <c r="AD17" s="280"/>
      <c r="AE17" s="280"/>
      <c r="AF17" s="279"/>
      <c r="AG17" s="279"/>
      <c r="AH17" s="279"/>
      <c r="AI17" s="279" t="s">
        <v>336</v>
      </c>
      <c r="AJ17" s="279"/>
      <c r="AK17" s="279"/>
      <c r="AL17" s="279" t="s">
        <v>560</v>
      </c>
      <c r="AM17" s="308"/>
      <c r="AN17" s="279"/>
      <c r="AO17" s="1"/>
      <c r="AP17" s="241"/>
      <c r="AQ17" s="279"/>
      <c r="AR17" s="279"/>
      <c r="AS17" s="280" t="s">
        <v>261</v>
      </c>
      <c r="AT17" s="280"/>
      <c r="AU17" s="279" t="s">
        <v>482</v>
      </c>
      <c r="AV17" s="279" t="s">
        <v>411</v>
      </c>
      <c r="AW17" s="279"/>
      <c r="AX17" s="279"/>
      <c r="AY17" s="279"/>
      <c r="AZ17" s="279"/>
      <c r="BA17" s="279"/>
      <c r="BB17" s="308"/>
      <c r="BC17" s="279"/>
      <c r="BD17" s="287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  <c r="CI17" s="286"/>
      <c r="CJ17" s="286"/>
      <c r="CK17" s="286"/>
      <c r="CL17" s="286"/>
      <c r="CM17" s="286"/>
      <c r="CN17" s="286"/>
      <c r="CO17" s="286"/>
      <c r="CP17" s="286"/>
      <c r="CQ17" s="286"/>
      <c r="CR17" s="286"/>
      <c r="CS17" s="286"/>
      <c r="CT17" s="286"/>
      <c r="CU17" s="286"/>
      <c r="CV17" s="286"/>
      <c r="CW17" s="286"/>
      <c r="CX17" s="286"/>
      <c r="CY17" s="286"/>
      <c r="CZ17" s="286"/>
      <c r="DA17" s="286"/>
      <c r="DB17" s="286"/>
      <c r="DC17" s="286"/>
      <c r="DD17" s="286"/>
      <c r="DE17" s="286"/>
      <c r="DF17" s="286"/>
      <c r="DG17" s="286"/>
      <c r="DH17" s="286"/>
      <c r="DI17" s="286"/>
      <c r="DJ17" s="286"/>
      <c r="DK17" s="286"/>
      <c r="DL17" s="286"/>
      <c r="DM17" s="286"/>
      <c r="DN17" s="286"/>
      <c r="DO17" s="286"/>
      <c r="DP17" s="286"/>
      <c r="DQ17" s="286"/>
      <c r="DR17" s="286"/>
      <c r="DS17" s="286"/>
      <c r="DT17" s="286"/>
      <c r="DU17" s="286"/>
      <c r="DV17" s="286"/>
      <c r="DW17" s="286"/>
      <c r="DX17" s="286"/>
      <c r="DY17" s="286"/>
      <c r="DZ17" s="286"/>
      <c r="EA17" s="286"/>
      <c r="EB17" s="286"/>
      <c r="EC17" s="286"/>
      <c r="ED17" s="286"/>
      <c r="EE17" s="286"/>
      <c r="EF17" s="286"/>
      <c r="EG17" s="286"/>
      <c r="EH17" s="286"/>
      <c r="EI17" s="286"/>
      <c r="EJ17" s="286"/>
      <c r="EK17" s="286"/>
      <c r="EL17" s="286"/>
      <c r="EM17" s="286"/>
    </row>
    <row r="18" spans="1:143" x14ac:dyDescent="0.2">
      <c r="A18" s="241"/>
      <c r="B18" s="279"/>
      <c r="C18" s="279"/>
      <c r="D18" s="280"/>
      <c r="E18" s="280"/>
      <c r="F18" s="279"/>
      <c r="G18" s="279"/>
      <c r="H18" s="279"/>
      <c r="I18" s="279"/>
      <c r="J18" s="279"/>
      <c r="K18" s="279"/>
      <c r="L18" s="279"/>
      <c r="M18" s="2"/>
      <c r="N18" s="241"/>
      <c r="O18" s="279"/>
      <c r="P18" s="279"/>
      <c r="Q18" s="280"/>
      <c r="R18" s="280"/>
      <c r="S18" s="279" t="s">
        <v>314</v>
      </c>
      <c r="T18" s="279" t="s">
        <v>377</v>
      </c>
      <c r="U18" s="279"/>
      <c r="V18" s="279"/>
      <c r="W18" s="279" t="s">
        <v>540</v>
      </c>
      <c r="X18" s="279"/>
      <c r="Y18" s="279"/>
      <c r="Z18" s="1"/>
      <c r="AA18" s="241"/>
      <c r="AB18" s="279"/>
      <c r="AC18" s="279"/>
      <c r="AD18" s="280"/>
      <c r="AE18" s="280"/>
      <c r="AF18" s="279"/>
      <c r="AG18" s="279"/>
      <c r="AH18" s="279"/>
      <c r="AI18" s="279" t="s">
        <v>448</v>
      </c>
      <c r="AJ18" s="279"/>
      <c r="AK18" s="279"/>
      <c r="AL18" s="279"/>
      <c r="AM18" s="308"/>
      <c r="AN18" s="279"/>
      <c r="AO18" s="1"/>
      <c r="AP18" s="241"/>
      <c r="AQ18" s="279"/>
      <c r="AR18" s="279"/>
      <c r="AS18" s="280" t="s">
        <v>349</v>
      </c>
      <c r="AT18" s="280"/>
      <c r="AU18" s="279"/>
      <c r="AV18" s="279" t="s">
        <v>186</v>
      </c>
      <c r="AW18" s="279"/>
      <c r="AX18" s="279"/>
      <c r="AY18" s="279"/>
      <c r="AZ18" s="279"/>
      <c r="BA18" s="279"/>
      <c r="BB18" s="308"/>
      <c r="BC18" s="279"/>
      <c r="BD18" s="287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  <c r="CI18" s="286"/>
      <c r="CJ18" s="286"/>
      <c r="CK18" s="286"/>
      <c r="CL18" s="286"/>
      <c r="CM18" s="286"/>
      <c r="CN18" s="286"/>
      <c r="CO18" s="286"/>
      <c r="CP18" s="286"/>
      <c r="CQ18" s="286"/>
      <c r="CR18" s="286"/>
      <c r="CS18" s="286"/>
      <c r="CT18" s="286"/>
      <c r="CU18" s="286"/>
      <c r="CV18" s="286"/>
      <c r="CW18" s="286"/>
      <c r="CX18" s="286"/>
      <c r="CY18" s="286"/>
      <c r="CZ18" s="286"/>
      <c r="DA18" s="286"/>
      <c r="DB18" s="286"/>
      <c r="DC18" s="286"/>
      <c r="DD18" s="286"/>
      <c r="DE18" s="286"/>
      <c r="DF18" s="286"/>
      <c r="DG18" s="286"/>
      <c r="DH18" s="286"/>
      <c r="DI18" s="286"/>
      <c r="DJ18" s="286"/>
      <c r="DK18" s="286"/>
      <c r="DL18" s="286"/>
      <c r="DM18" s="286"/>
      <c r="DN18" s="286"/>
      <c r="DO18" s="286"/>
      <c r="DP18" s="286"/>
      <c r="DQ18" s="286"/>
      <c r="DR18" s="286"/>
      <c r="DS18" s="286"/>
      <c r="DT18" s="286"/>
      <c r="DU18" s="286"/>
      <c r="DV18" s="286"/>
      <c r="DW18" s="286"/>
      <c r="DX18" s="286"/>
      <c r="DY18" s="286"/>
      <c r="DZ18" s="286"/>
      <c r="EA18" s="286"/>
      <c r="EB18" s="286"/>
      <c r="EC18" s="286"/>
      <c r="ED18" s="286"/>
      <c r="EE18" s="286"/>
      <c r="EF18" s="286"/>
      <c r="EG18" s="286"/>
      <c r="EH18" s="286"/>
      <c r="EI18" s="286"/>
      <c r="EJ18" s="286"/>
      <c r="EK18" s="286"/>
      <c r="EL18" s="286"/>
      <c r="EM18" s="286"/>
    </row>
    <row r="19" spans="1:143" x14ac:dyDescent="0.2">
      <c r="A19" s="241"/>
      <c r="B19" s="279"/>
      <c r="C19" s="279"/>
      <c r="D19" s="280"/>
      <c r="E19" s="280"/>
      <c r="F19" s="279"/>
      <c r="G19" s="279"/>
      <c r="H19" s="279"/>
      <c r="I19" s="279"/>
      <c r="J19" s="279"/>
      <c r="K19" s="279"/>
      <c r="L19" s="279"/>
      <c r="M19" s="2"/>
      <c r="N19" s="241"/>
      <c r="O19" s="279"/>
      <c r="P19" s="279"/>
      <c r="Q19" s="280"/>
      <c r="R19" s="280"/>
      <c r="S19" s="279" t="s">
        <v>409</v>
      </c>
      <c r="T19" s="279" t="s">
        <v>372</v>
      </c>
      <c r="U19" s="279"/>
      <c r="V19" s="279"/>
      <c r="W19" s="279"/>
      <c r="X19" s="279"/>
      <c r="Y19" s="279"/>
      <c r="Z19" s="1"/>
      <c r="AA19" s="241"/>
      <c r="AB19" s="279"/>
      <c r="AC19" s="279"/>
      <c r="AD19" s="280"/>
      <c r="AE19" s="280"/>
      <c r="AF19" s="279"/>
      <c r="AG19" s="279"/>
      <c r="AH19" s="279"/>
      <c r="AI19" s="279"/>
      <c r="AJ19" s="279"/>
      <c r="AK19" s="279"/>
      <c r="AL19" s="279"/>
      <c r="AM19" s="308"/>
      <c r="AN19" s="279"/>
      <c r="AO19" s="1"/>
      <c r="AP19" s="241"/>
      <c r="AQ19" s="279"/>
      <c r="AR19" s="279"/>
      <c r="AS19" s="280" t="s">
        <v>347</v>
      </c>
      <c r="AT19" s="280"/>
      <c r="AU19" s="279"/>
      <c r="AV19" s="279"/>
      <c r="AW19" s="279"/>
      <c r="AX19" s="279"/>
      <c r="AY19" s="279"/>
      <c r="AZ19" s="279"/>
      <c r="BA19" s="279"/>
      <c r="BB19" s="308"/>
      <c r="BC19" s="279"/>
      <c r="BD19" s="287"/>
      <c r="BE19" s="286"/>
      <c r="BF19" s="286"/>
      <c r="BG19" s="286"/>
      <c r="BH19" s="286"/>
      <c r="BI19" s="286"/>
      <c r="BJ19" s="286"/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6"/>
      <c r="CG19" s="286"/>
      <c r="CH19" s="286"/>
      <c r="CI19" s="286"/>
      <c r="CJ19" s="286"/>
      <c r="CK19" s="286"/>
      <c r="CL19" s="286"/>
      <c r="CM19" s="286"/>
      <c r="CN19" s="286"/>
      <c r="CO19" s="286"/>
      <c r="CP19" s="286"/>
      <c r="CQ19" s="286"/>
      <c r="CR19" s="286"/>
      <c r="CS19" s="286"/>
      <c r="CT19" s="286"/>
      <c r="CU19" s="286"/>
      <c r="CV19" s="286"/>
      <c r="CW19" s="286"/>
      <c r="CX19" s="286"/>
      <c r="CY19" s="286"/>
      <c r="CZ19" s="286"/>
      <c r="DA19" s="286"/>
      <c r="DB19" s="286"/>
      <c r="DC19" s="286"/>
      <c r="DD19" s="286"/>
      <c r="DE19" s="286"/>
      <c r="DF19" s="286"/>
      <c r="DG19" s="286"/>
      <c r="DH19" s="286"/>
      <c r="DI19" s="286"/>
      <c r="DJ19" s="286"/>
      <c r="DK19" s="286"/>
      <c r="DL19" s="286"/>
      <c r="DM19" s="286"/>
      <c r="DN19" s="286"/>
      <c r="DO19" s="286"/>
      <c r="DP19" s="286"/>
      <c r="DQ19" s="286"/>
      <c r="DR19" s="286"/>
      <c r="DS19" s="286"/>
      <c r="DT19" s="286"/>
      <c r="DU19" s="286"/>
      <c r="DV19" s="286"/>
      <c r="DW19" s="286"/>
      <c r="DX19" s="286"/>
      <c r="DY19" s="286"/>
      <c r="DZ19" s="286"/>
      <c r="EA19" s="286"/>
      <c r="EB19" s="286"/>
      <c r="EC19" s="286"/>
      <c r="ED19" s="286"/>
      <c r="EE19" s="286"/>
      <c r="EF19" s="286"/>
      <c r="EG19" s="286"/>
      <c r="EH19" s="286"/>
      <c r="EI19" s="286"/>
      <c r="EJ19" s="286"/>
      <c r="EK19" s="286"/>
      <c r="EL19" s="286"/>
      <c r="EM19" s="286"/>
    </row>
    <row r="20" spans="1:143" ht="13.5" thickBot="1" x14ac:dyDescent="0.25">
      <c r="A20" s="281"/>
      <c r="B20" s="282"/>
      <c r="C20" s="282"/>
      <c r="D20" s="283"/>
      <c r="E20" s="283"/>
      <c r="F20" s="282"/>
      <c r="G20" s="282"/>
      <c r="H20" s="282"/>
      <c r="I20" s="282"/>
      <c r="J20" s="282"/>
      <c r="K20" s="282"/>
      <c r="L20" s="282"/>
      <c r="M20" s="2"/>
      <c r="N20" s="281"/>
      <c r="O20" s="282"/>
      <c r="P20" s="282"/>
      <c r="Q20" s="283"/>
      <c r="R20" s="283"/>
      <c r="S20" s="282" t="s">
        <v>309</v>
      </c>
      <c r="T20" s="282" t="s">
        <v>411</v>
      </c>
      <c r="U20" s="282"/>
      <c r="V20" s="282"/>
      <c r="W20" s="282"/>
      <c r="X20" s="282"/>
      <c r="Y20" s="282"/>
      <c r="Z20" s="1"/>
      <c r="AA20" s="281"/>
      <c r="AB20" s="282"/>
      <c r="AC20" s="282"/>
      <c r="AD20" s="283"/>
      <c r="AE20" s="283"/>
      <c r="AF20" s="282"/>
      <c r="AG20" s="282"/>
      <c r="AH20" s="282"/>
      <c r="AI20" s="282"/>
      <c r="AJ20" s="282"/>
      <c r="AK20" s="282"/>
      <c r="AL20" s="282"/>
      <c r="AM20" s="309"/>
      <c r="AN20" s="282"/>
      <c r="AO20" s="1"/>
      <c r="AP20" s="281"/>
      <c r="AQ20" s="282"/>
      <c r="AR20" s="282"/>
      <c r="AS20" s="283" t="s">
        <v>338</v>
      </c>
      <c r="AT20" s="283"/>
      <c r="AU20" s="282"/>
      <c r="AV20" s="282"/>
      <c r="AW20" s="282"/>
      <c r="AX20" s="282"/>
      <c r="AY20" s="282"/>
      <c r="AZ20" s="282"/>
      <c r="BA20" s="282"/>
      <c r="BB20" s="309"/>
      <c r="BC20" s="282"/>
      <c r="BD20" s="287"/>
      <c r="BE20" s="286"/>
      <c r="BF20" s="286"/>
      <c r="BG20" s="286"/>
      <c r="BH20" s="286"/>
      <c r="BI20" s="286"/>
      <c r="BJ20" s="286"/>
      <c r="BK20" s="286"/>
      <c r="BL20" s="286"/>
      <c r="BM20" s="286"/>
      <c r="BN20" s="286"/>
      <c r="BO20" s="286"/>
      <c r="BP20" s="286"/>
      <c r="BQ20" s="286"/>
      <c r="BR20" s="286"/>
      <c r="BS20" s="286"/>
      <c r="BT20" s="286"/>
      <c r="BU20" s="286"/>
      <c r="BV20" s="286"/>
      <c r="BW20" s="286"/>
      <c r="BX20" s="286"/>
      <c r="BY20" s="286"/>
      <c r="BZ20" s="286"/>
      <c r="CA20" s="286"/>
      <c r="CB20" s="286"/>
      <c r="CC20" s="286"/>
      <c r="CD20" s="286"/>
      <c r="CE20" s="286"/>
      <c r="CF20" s="286"/>
      <c r="CG20" s="286"/>
      <c r="CH20" s="286"/>
      <c r="CI20" s="286"/>
      <c r="CJ20" s="286"/>
      <c r="CK20" s="286"/>
      <c r="CL20" s="286"/>
      <c r="CM20" s="286"/>
      <c r="CN20" s="286"/>
      <c r="CO20" s="286"/>
      <c r="CP20" s="286"/>
      <c r="CQ20" s="286"/>
      <c r="CR20" s="286"/>
      <c r="CS20" s="286"/>
      <c r="CT20" s="286"/>
      <c r="CU20" s="286"/>
      <c r="CV20" s="286"/>
      <c r="CW20" s="286"/>
      <c r="CX20" s="286"/>
      <c r="CY20" s="286"/>
      <c r="CZ20" s="286"/>
      <c r="DA20" s="286"/>
      <c r="DB20" s="286"/>
      <c r="DC20" s="286"/>
      <c r="DD20" s="286"/>
      <c r="DE20" s="286"/>
      <c r="DF20" s="286"/>
      <c r="DG20" s="286"/>
      <c r="DH20" s="286"/>
      <c r="DI20" s="286"/>
      <c r="DJ20" s="286"/>
      <c r="DK20" s="286"/>
      <c r="DL20" s="286"/>
      <c r="DM20" s="286"/>
      <c r="DN20" s="286"/>
      <c r="DO20" s="286"/>
      <c r="DP20" s="286"/>
      <c r="DQ20" s="286"/>
      <c r="DR20" s="286"/>
      <c r="DS20" s="286"/>
      <c r="DT20" s="286"/>
      <c r="DU20" s="286"/>
      <c r="DV20" s="286"/>
      <c r="DW20" s="286"/>
      <c r="DX20" s="286"/>
      <c r="DY20" s="286"/>
      <c r="DZ20" s="286"/>
      <c r="EA20" s="286"/>
      <c r="EB20" s="286"/>
      <c r="EC20" s="286"/>
      <c r="ED20" s="286"/>
      <c r="EE20" s="286"/>
      <c r="EF20" s="286"/>
      <c r="EG20" s="286"/>
      <c r="EH20" s="286"/>
      <c r="EI20" s="286"/>
      <c r="EJ20" s="286"/>
      <c r="EK20" s="286"/>
      <c r="EL20" s="286"/>
      <c r="EM20" s="286"/>
    </row>
    <row r="21" spans="1:143" ht="13.5" thickTop="1" x14ac:dyDescent="0.2">
      <c r="A21" s="241"/>
      <c r="B21" s="2"/>
      <c r="C21" s="2"/>
      <c r="D21" s="284"/>
      <c r="E21" s="284"/>
      <c r="F21" s="2"/>
      <c r="G21" s="2"/>
      <c r="H21" s="2"/>
      <c r="I21" s="2"/>
      <c r="J21" s="2"/>
      <c r="K21" s="2"/>
      <c r="L21" s="2"/>
      <c r="M21" s="2"/>
      <c r="N21" s="2"/>
      <c r="O21" s="426"/>
      <c r="P21" s="426"/>
      <c r="Q21" s="426"/>
      <c r="R21" s="426"/>
      <c r="S21" s="426" t="s">
        <v>307</v>
      </c>
      <c r="T21" s="426" t="s">
        <v>186</v>
      </c>
      <c r="U21" s="426"/>
      <c r="V21" s="426"/>
      <c r="W21" s="426"/>
      <c r="X21" s="426"/>
      <c r="Y21" s="426"/>
      <c r="Z21" s="426"/>
      <c r="AA21" s="426"/>
      <c r="AB21" s="426"/>
      <c r="AC21" s="426"/>
      <c r="AD21" s="426"/>
      <c r="AE21" s="426"/>
      <c r="AF21" s="426"/>
      <c r="AG21" s="426"/>
      <c r="AH21" s="426"/>
      <c r="AI21" s="426"/>
      <c r="AJ21" s="426"/>
      <c r="AK21" s="426"/>
      <c r="AL21" s="426"/>
      <c r="AM21" s="426"/>
      <c r="AN21" s="426"/>
      <c r="AO21" s="426"/>
      <c r="AS21" s="286" t="s">
        <v>234</v>
      </c>
      <c r="BD21" s="426"/>
      <c r="BE21" s="286"/>
      <c r="BF21" s="286"/>
      <c r="BG21" s="286"/>
      <c r="BH21" s="286"/>
      <c r="BI21" s="286"/>
      <c r="BJ21" s="286"/>
      <c r="BK21" s="286"/>
      <c r="BL21" s="286"/>
      <c r="BM21" s="286"/>
      <c r="BN21" s="286"/>
      <c r="BO21" s="286"/>
      <c r="BP21" s="286"/>
      <c r="BQ21" s="286"/>
      <c r="BR21" s="286"/>
      <c r="BS21" s="286"/>
      <c r="BT21" s="286"/>
      <c r="BU21" s="286"/>
      <c r="BV21" s="286"/>
      <c r="BW21" s="286"/>
      <c r="BX21" s="286"/>
      <c r="BY21" s="286"/>
      <c r="BZ21" s="286"/>
      <c r="CA21" s="286"/>
      <c r="CB21" s="286"/>
      <c r="CC21" s="286"/>
      <c r="CD21" s="286"/>
      <c r="CE21" s="286"/>
      <c r="CF21" s="286"/>
      <c r="CG21" s="286"/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6"/>
      <c r="DM21" s="286"/>
      <c r="DN21" s="286"/>
      <c r="DO21" s="286"/>
      <c r="DP21" s="286"/>
      <c r="DQ21" s="286"/>
      <c r="DR21" s="286"/>
      <c r="DS21" s="286"/>
      <c r="DT21" s="286"/>
      <c r="DU21" s="286"/>
      <c r="DV21" s="286"/>
      <c r="DW21" s="286"/>
      <c r="DX21" s="286"/>
      <c r="DY21" s="286"/>
      <c r="DZ21" s="286"/>
      <c r="EA21" s="286"/>
      <c r="EB21" s="286"/>
      <c r="EC21" s="286"/>
      <c r="ED21" s="286"/>
      <c r="EE21" s="286"/>
      <c r="EF21" s="286"/>
      <c r="EG21" s="286"/>
      <c r="EH21" s="286"/>
      <c r="EI21" s="286"/>
      <c r="EJ21" s="286"/>
      <c r="EK21" s="286"/>
      <c r="EL21" s="286"/>
      <c r="EM21" s="286"/>
    </row>
    <row r="22" spans="1:143" x14ac:dyDescent="0.2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O22" s="1"/>
      <c r="P22" s="1"/>
      <c r="Q22" s="1"/>
      <c r="R22" s="1"/>
      <c r="S22" s="1"/>
      <c r="T22" s="1" t="s">
        <v>412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BD22" s="1"/>
      <c r="BE22" s="286"/>
      <c r="BF22" s="286"/>
      <c r="BG22" s="286"/>
      <c r="BH22" s="286"/>
      <c r="BI22" s="286"/>
      <c r="BJ22" s="286"/>
      <c r="BK22" s="286"/>
      <c r="BL22" s="286"/>
      <c r="BM22" s="286"/>
      <c r="BN22" s="286"/>
      <c r="BO22" s="286"/>
      <c r="BP22" s="286"/>
      <c r="BQ22" s="286"/>
      <c r="BR22" s="286"/>
      <c r="BS22" s="286"/>
      <c r="BT22" s="286"/>
      <c r="BU22" s="286"/>
      <c r="BV22" s="286"/>
      <c r="BW22" s="286"/>
      <c r="BX22" s="286"/>
      <c r="BY22" s="286"/>
      <c r="BZ22" s="286"/>
      <c r="CA22" s="286"/>
      <c r="CB22" s="286"/>
      <c r="CC22" s="286"/>
      <c r="CD22" s="286"/>
      <c r="CE22" s="286"/>
      <c r="CF22" s="286"/>
      <c r="CG22" s="286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6"/>
      <c r="DM22" s="286"/>
      <c r="DN22" s="286"/>
      <c r="DO22" s="286"/>
      <c r="DP22" s="286"/>
      <c r="DQ22" s="286"/>
      <c r="DR22" s="286"/>
      <c r="DS22" s="286"/>
      <c r="DT22" s="286"/>
      <c r="DU22" s="286"/>
      <c r="DV22" s="286"/>
      <c r="DW22" s="286"/>
      <c r="DX22" s="286"/>
      <c r="DY22" s="286"/>
      <c r="DZ22" s="286"/>
      <c r="EA22" s="286"/>
      <c r="EB22" s="286"/>
      <c r="EC22" s="286"/>
      <c r="ED22" s="286"/>
      <c r="EE22" s="286"/>
      <c r="EF22" s="286"/>
      <c r="EG22" s="286"/>
      <c r="EH22" s="286"/>
      <c r="EI22" s="286"/>
      <c r="EJ22" s="286"/>
      <c r="EK22" s="286"/>
      <c r="EL22" s="286"/>
      <c r="EM22" s="286"/>
    </row>
    <row r="23" spans="1:143" s="306" customFormat="1" x14ac:dyDescent="0.2">
      <c r="A23" s="307"/>
      <c r="B23" s="307"/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10"/>
      <c r="N23" s="310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/>
      <c r="AO23" s="307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/>
      <c r="CM23" s="307"/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7"/>
      <c r="CY23" s="307"/>
      <c r="CZ23" s="307"/>
      <c r="DA23" s="307"/>
      <c r="DB23" s="307"/>
      <c r="DC23" s="307"/>
      <c r="DD23" s="307"/>
      <c r="DE23" s="307"/>
      <c r="DF23" s="307"/>
      <c r="DG23" s="307"/>
      <c r="DH23" s="307"/>
      <c r="DI23" s="307"/>
      <c r="DJ23" s="307"/>
      <c r="DK23" s="307"/>
      <c r="DL23" s="307"/>
      <c r="DM23" s="307"/>
      <c r="DN23" s="307"/>
      <c r="DO23" s="307"/>
      <c r="DP23" s="307"/>
      <c r="DQ23" s="307"/>
      <c r="DR23" s="307"/>
      <c r="DS23" s="307"/>
      <c r="DT23" s="307"/>
      <c r="DU23" s="307"/>
      <c r="DV23" s="307"/>
      <c r="DW23" s="307"/>
      <c r="DX23" s="307"/>
      <c r="DY23" s="307"/>
      <c r="DZ23" s="307"/>
      <c r="EA23" s="307"/>
      <c r="EB23" s="307"/>
      <c r="EC23" s="307"/>
      <c r="ED23" s="307"/>
      <c r="EE23" s="307"/>
      <c r="EF23" s="307"/>
      <c r="EG23" s="307"/>
      <c r="EH23" s="307"/>
      <c r="EI23" s="307"/>
      <c r="EJ23" s="307"/>
      <c r="EK23" s="307"/>
      <c r="EL23" s="307"/>
      <c r="EM23" s="307"/>
    </row>
    <row r="24" spans="1:143" x14ac:dyDescent="0.2">
      <c r="A24" s="286"/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"/>
      <c r="N24" s="2"/>
      <c r="BE24" s="286"/>
      <c r="BF24" s="286"/>
      <c r="BG24" s="286"/>
      <c r="BH24" s="286"/>
      <c r="BI24" s="286"/>
      <c r="BJ24" s="286"/>
      <c r="BK24" s="286"/>
      <c r="BL24" s="286"/>
      <c r="BM24" s="286"/>
      <c r="BN24" s="286"/>
      <c r="BO24" s="286"/>
      <c r="BP24" s="286"/>
      <c r="BQ24" s="286"/>
      <c r="BR24" s="286"/>
      <c r="BS24" s="286"/>
      <c r="BT24" s="286"/>
      <c r="BU24" s="286"/>
      <c r="BV24" s="286"/>
      <c r="BW24" s="286"/>
      <c r="BX24" s="286"/>
      <c r="BY24" s="286"/>
      <c r="BZ24" s="286"/>
      <c r="CA24" s="286"/>
      <c r="CB24" s="286"/>
      <c r="CC24" s="286"/>
      <c r="CD24" s="286"/>
      <c r="CE24" s="286"/>
      <c r="CF24" s="286"/>
      <c r="CG24" s="286"/>
      <c r="CH24" s="286"/>
      <c r="CI24" s="286"/>
      <c r="CJ24" s="286"/>
      <c r="CK24" s="286"/>
      <c r="CL24" s="286"/>
      <c r="CM24" s="286"/>
      <c r="CN24" s="286"/>
      <c r="CO24" s="286"/>
      <c r="CP24" s="286"/>
      <c r="CQ24" s="286"/>
      <c r="CR24" s="286"/>
      <c r="CS24" s="286"/>
      <c r="CT24" s="286"/>
      <c r="CU24" s="286"/>
      <c r="CV24" s="286"/>
      <c r="CW24" s="286"/>
      <c r="CX24" s="286"/>
      <c r="CY24" s="286"/>
      <c r="CZ24" s="286"/>
      <c r="DA24" s="286"/>
      <c r="DB24" s="286"/>
      <c r="DC24" s="286"/>
      <c r="DD24" s="286"/>
      <c r="DE24" s="286"/>
      <c r="DF24" s="286"/>
      <c r="DG24" s="286"/>
      <c r="DH24" s="286"/>
      <c r="DI24" s="286"/>
      <c r="DJ24" s="286"/>
      <c r="DK24" s="286"/>
      <c r="DL24" s="286"/>
      <c r="DM24" s="286"/>
      <c r="DN24" s="286"/>
      <c r="DO24" s="286"/>
      <c r="DP24" s="286"/>
      <c r="DQ24" s="286"/>
      <c r="DR24" s="286"/>
      <c r="DS24" s="286"/>
      <c r="DT24" s="286"/>
      <c r="DU24" s="286"/>
      <c r="DV24" s="286"/>
      <c r="DW24" s="286"/>
      <c r="DX24" s="286"/>
      <c r="DY24" s="286"/>
      <c r="DZ24" s="286"/>
      <c r="EA24" s="286"/>
      <c r="EB24" s="286"/>
      <c r="EC24" s="286"/>
      <c r="ED24" s="286"/>
      <c r="EE24" s="286"/>
      <c r="EF24" s="286"/>
      <c r="EG24" s="286"/>
      <c r="EH24" s="286"/>
      <c r="EI24" s="286"/>
      <c r="EJ24" s="286"/>
      <c r="EK24" s="286"/>
      <c r="EL24" s="286"/>
      <c r="EM24" s="286"/>
    </row>
    <row r="25" spans="1:143" x14ac:dyDescent="0.2">
      <c r="A25" s="286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"/>
      <c r="N25" s="2"/>
      <c r="BE25" s="286"/>
      <c r="BF25" s="286"/>
      <c r="BG25" s="286"/>
      <c r="BH25" s="286"/>
      <c r="BI25" s="286"/>
      <c r="BJ25" s="286"/>
      <c r="BK25" s="286"/>
      <c r="BL25" s="286"/>
      <c r="BM25" s="286"/>
      <c r="BN25" s="286"/>
      <c r="BO25" s="286"/>
      <c r="BP25" s="286"/>
      <c r="BQ25" s="286"/>
      <c r="BR25" s="286"/>
      <c r="BS25" s="286"/>
      <c r="BT25" s="286"/>
      <c r="BU25" s="286"/>
      <c r="BV25" s="286"/>
      <c r="BW25" s="286"/>
      <c r="BX25" s="286"/>
      <c r="BY25" s="286"/>
      <c r="BZ25" s="286"/>
      <c r="CA25" s="286"/>
      <c r="CB25" s="286"/>
      <c r="CC25" s="286"/>
      <c r="CD25" s="286"/>
      <c r="CE25" s="286"/>
      <c r="CF25" s="286"/>
      <c r="CG25" s="286"/>
      <c r="CH25" s="286"/>
      <c r="CI25" s="286"/>
      <c r="CJ25" s="286"/>
      <c r="CK25" s="286"/>
      <c r="CL25" s="286"/>
      <c r="CM25" s="286"/>
      <c r="CN25" s="286"/>
      <c r="CO25" s="286"/>
      <c r="CP25" s="286"/>
      <c r="CQ25" s="286"/>
      <c r="CR25" s="286"/>
      <c r="CS25" s="286"/>
      <c r="CT25" s="286"/>
      <c r="CU25" s="286"/>
      <c r="CV25" s="286"/>
      <c r="CW25" s="286"/>
      <c r="CX25" s="286"/>
      <c r="CY25" s="286"/>
      <c r="CZ25" s="286"/>
      <c r="DA25" s="286"/>
      <c r="DB25" s="286"/>
      <c r="DC25" s="286"/>
      <c r="DD25" s="286"/>
      <c r="DE25" s="286"/>
      <c r="DF25" s="286"/>
      <c r="DG25" s="286"/>
      <c r="DH25" s="286"/>
      <c r="DI25" s="286"/>
      <c r="DJ25" s="286"/>
      <c r="DK25" s="286"/>
      <c r="DL25" s="286"/>
      <c r="DM25" s="286"/>
      <c r="DN25" s="286"/>
      <c r="DO25" s="286"/>
      <c r="DP25" s="286"/>
      <c r="DQ25" s="286"/>
      <c r="DR25" s="286"/>
      <c r="DS25" s="286"/>
      <c r="DT25" s="286"/>
      <c r="DU25" s="286"/>
      <c r="DV25" s="286"/>
      <c r="DW25" s="286"/>
      <c r="DX25" s="286"/>
      <c r="DY25" s="286"/>
      <c r="DZ25" s="286"/>
      <c r="EA25" s="286"/>
      <c r="EB25" s="286"/>
      <c r="EC25" s="286"/>
      <c r="ED25" s="286"/>
      <c r="EE25" s="286"/>
      <c r="EF25" s="286"/>
      <c r="EG25" s="286"/>
      <c r="EH25" s="286"/>
      <c r="EI25" s="286"/>
      <c r="EJ25" s="286"/>
      <c r="EK25" s="286"/>
      <c r="EL25" s="286"/>
      <c r="EM25" s="286"/>
    </row>
    <row r="26" spans="1:143" x14ac:dyDescent="0.2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"/>
      <c r="N26" s="2"/>
      <c r="BE26" s="286"/>
      <c r="BF26" s="286"/>
      <c r="BG26" s="286"/>
      <c r="BH26" s="286"/>
      <c r="BI26" s="286"/>
      <c r="BJ26" s="286"/>
      <c r="BK26" s="286"/>
      <c r="BL26" s="286"/>
      <c r="BM26" s="286"/>
      <c r="BN26" s="286"/>
      <c r="BO26" s="286"/>
      <c r="BP26" s="286"/>
      <c r="BQ26" s="286"/>
      <c r="BR26" s="286"/>
      <c r="BS26" s="286"/>
      <c r="BT26" s="286"/>
      <c r="BU26" s="286"/>
      <c r="BV26" s="286"/>
      <c r="BW26" s="286"/>
      <c r="BX26" s="286"/>
      <c r="BY26" s="286"/>
      <c r="BZ26" s="286"/>
      <c r="CA26" s="286"/>
      <c r="CB26" s="286"/>
      <c r="CC26" s="286"/>
      <c r="CD26" s="286"/>
      <c r="CE26" s="286"/>
      <c r="CF26" s="286"/>
      <c r="CG26" s="286"/>
      <c r="CH26" s="286"/>
      <c r="CI26" s="286"/>
      <c r="CJ26" s="286"/>
      <c r="CK26" s="286"/>
      <c r="CL26" s="286"/>
      <c r="CM26" s="286"/>
      <c r="CN26" s="286"/>
      <c r="CO26" s="286"/>
      <c r="CP26" s="286"/>
      <c r="CQ26" s="286"/>
      <c r="CR26" s="286"/>
      <c r="CS26" s="286"/>
      <c r="CT26" s="286"/>
      <c r="CU26" s="286"/>
      <c r="CV26" s="286"/>
      <c r="CW26" s="286"/>
      <c r="CX26" s="286"/>
      <c r="CY26" s="286"/>
      <c r="CZ26" s="286"/>
      <c r="DA26" s="286"/>
      <c r="DB26" s="286"/>
      <c r="DC26" s="286"/>
      <c r="DD26" s="286"/>
      <c r="DE26" s="286"/>
      <c r="DF26" s="286"/>
      <c r="DG26" s="286"/>
      <c r="DH26" s="286"/>
      <c r="DI26" s="286"/>
      <c r="DJ26" s="286"/>
      <c r="DK26" s="286"/>
      <c r="DL26" s="286"/>
      <c r="DM26" s="286"/>
      <c r="DN26" s="286"/>
      <c r="DO26" s="286"/>
      <c r="DP26" s="286"/>
      <c r="DQ26" s="286"/>
      <c r="DR26" s="286"/>
      <c r="DS26" s="286"/>
      <c r="DT26" s="286"/>
      <c r="DU26" s="286"/>
      <c r="DV26" s="286"/>
      <c r="DW26" s="286"/>
      <c r="DX26" s="286"/>
      <c r="DY26" s="286"/>
      <c r="DZ26" s="286"/>
      <c r="EA26" s="286"/>
      <c r="EB26" s="286"/>
      <c r="EC26" s="286"/>
      <c r="ED26" s="286"/>
      <c r="EE26" s="286"/>
      <c r="EF26" s="286"/>
      <c r="EG26" s="286"/>
      <c r="EH26" s="286"/>
      <c r="EI26" s="286"/>
      <c r="EJ26" s="286"/>
      <c r="EK26" s="286"/>
      <c r="EL26" s="286"/>
      <c r="EM26" s="286"/>
    </row>
    <row r="27" spans="1:143" x14ac:dyDescent="0.2">
      <c r="A27" s="286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"/>
      <c r="N27" s="2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P27" s="286"/>
      <c r="BQ27" s="286"/>
      <c r="BR27" s="286"/>
      <c r="BS27" s="286"/>
      <c r="BT27" s="286"/>
      <c r="BU27" s="286"/>
      <c r="BV27" s="286"/>
      <c r="BW27" s="286"/>
      <c r="BX27" s="286"/>
      <c r="BY27" s="286"/>
      <c r="BZ27" s="286"/>
      <c r="CA27" s="286"/>
      <c r="CB27" s="286"/>
      <c r="CC27" s="286"/>
      <c r="CD27" s="286"/>
      <c r="CE27" s="286"/>
      <c r="CF27" s="286"/>
      <c r="CG27" s="286"/>
      <c r="CH27" s="286"/>
      <c r="CI27" s="286"/>
      <c r="CJ27" s="286"/>
      <c r="CK27" s="286"/>
      <c r="CL27" s="286"/>
      <c r="CM27" s="286"/>
      <c r="CN27" s="286"/>
      <c r="CO27" s="286"/>
      <c r="CP27" s="286"/>
      <c r="CQ27" s="286"/>
      <c r="CR27" s="286"/>
      <c r="CS27" s="286"/>
      <c r="CT27" s="286"/>
      <c r="CU27" s="286"/>
      <c r="CV27" s="286"/>
      <c r="CW27" s="286"/>
      <c r="CX27" s="286"/>
      <c r="CY27" s="286"/>
      <c r="CZ27" s="286"/>
      <c r="DA27" s="286"/>
      <c r="DB27" s="286"/>
      <c r="DC27" s="286"/>
      <c r="DD27" s="286"/>
      <c r="DE27" s="286"/>
      <c r="DF27" s="286"/>
      <c r="DG27" s="286"/>
      <c r="DH27" s="286"/>
      <c r="DI27" s="286"/>
      <c r="DJ27" s="286"/>
      <c r="DK27" s="286"/>
      <c r="DL27" s="286"/>
      <c r="DM27" s="286"/>
      <c r="DN27" s="286"/>
      <c r="DO27" s="286"/>
      <c r="DP27" s="286"/>
      <c r="DQ27" s="286"/>
      <c r="DR27" s="286"/>
      <c r="DS27" s="286"/>
      <c r="DT27" s="286"/>
      <c r="DU27" s="286"/>
      <c r="DV27" s="286"/>
      <c r="DW27" s="286"/>
      <c r="DX27" s="286"/>
      <c r="DY27" s="286"/>
      <c r="DZ27" s="286"/>
      <c r="EA27" s="286"/>
      <c r="EB27" s="286"/>
      <c r="EC27" s="286"/>
      <c r="ED27" s="286"/>
      <c r="EE27" s="286"/>
      <c r="EF27" s="286"/>
      <c r="EG27" s="286"/>
      <c r="EH27" s="286"/>
      <c r="EI27" s="286"/>
      <c r="EJ27" s="286"/>
      <c r="EK27" s="286"/>
      <c r="EL27" s="286"/>
      <c r="EM27" s="286"/>
    </row>
    <row r="28" spans="1:143" x14ac:dyDescent="0.2">
      <c r="A28" s="286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"/>
      <c r="N28" s="2"/>
      <c r="BE28" s="286"/>
      <c r="BF28" s="286"/>
      <c r="BG28" s="286"/>
      <c r="BH28" s="286"/>
      <c r="BI28" s="286"/>
      <c r="BJ28" s="286"/>
      <c r="BK28" s="286"/>
      <c r="BL28" s="286"/>
      <c r="BM28" s="286"/>
      <c r="BN28" s="286"/>
      <c r="BO28" s="286"/>
      <c r="BP28" s="286"/>
      <c r="BQ28" s="286"/>
      <c r="BR28" s="286"/>
      <c r="BS28" s="286"/>
      <c r="BT28" s="286"/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86"/>
      <c r="CP28" s="286"/>
      <c r="CQ28" s="286"/>
      <c r="CR28" s="286"/>
      <c r="CS28" s="286"/>
      <c r="CT28" s="286"/>
      <c r="CU28" s="286"/>
      <c r="CV28" s="286"/>
      <c r="CW28" s="286"/>
      <c r="CX28" s="286"/>
      <c r="CY28" s="286"/>
      <c r="CZ28" s="286"/>
      <c r="DA28" s="286"/>
      <c r="DB28" s="286"/>
      <c r="DC28" s="286"/>
      <c r="DD28" s="286"/>
      <c r="DE28" s="286"/>
      <c r="DF28" s="286"/>
      <c r="DG28" s="286"/>
      <c r="DH28" s="286"/>
      <c r="DI28" s="286"/>
      <c r="DJ28" s="286"/>
      <c r="DK28" s="286"/>
      <c r="DL28" s="286"/>
      <c r="DM28" s="286"/>
      <c r="DN28" s="286"/>
      <c r="DO28" s="286"/>
      <c r="DP28" s="286"/>
      <c r="DQ28" s="286"/>
      <c r="DR28" s="286"/>
      <c r="DS28" s="286"/>
      <c r="DT28" s="286"/>
      <c r="DU28" s="286"/>
      <c r="DV28" s="286"/>
      <c r="DW28" s="286"/>
      <c r="DX28" s="286"/>
      <c r="DY28" s="286"/>
      <c r="DZ28" s="286"/>
      <c r="EA28" s="286"/>
      <c r="EB28" s="286"/>
      <c r="EC28" s="286"/>
      <c r="ED28" s="286"/>
      <c r="EE28" s="286"/>
      <c r="EF28" s="286"/>
      <c r="EG28" s="286"/>
      <c r="EH28" s="286"/>
      <c r="EI28" s="286"/>
      <c r="EJ28" s="286"/>
      <c r="EK28" s="286"/>
      <c r="EL28" s="286"/>
      <c r="EM28" s="286"/>
    </row>
    <row r="29" spans="1:143" x14ac:dyDescent="0.2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"/>
      <c r="N29" s="2"/>
      <c r="BE29" s="286"/>
      <c r="BF29" s="286"/>
      <c r="BG29" s="286"/>
      <c r="BH29" s="286"/>
      <c r="BI29" s="286"/>
      <c r="BJ29" s="286"/>
      <c r="BK29" s="286"/>
      <c r="BL29" s="286"/>
      <c r="BM29" s="286"/>
      <c r="BN29" s="286"/>
      <c r="BO29" s="286"/>
      <c r="BP29" s="286"/>
      <c r="BQ29" s="286"/>
      <c r="BR29" s="286"/>
      <c r="BS29" s="286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86"/>
      <c r="CP29" s="286"/>
      <c r="CQ29" s="286"/>
      <c r="CR29" s="286"/>
      <c r="CS29" s="286"/>
      <c r="CT29" s="286"/>
      <c r="CU29" s="286"/>
      <c r="CV29" s="286"/>
      <c r="CW29" s="286"/>
      <c r="CX29" s="286"/>
      <c r="CY29" s="286"/>
      <c r="CZ29" s="286"/>
      <c r="DA29" s="286"/>
      <c r="DB29" s="286"/>
      <c r="DC29" s="286"/>
      <c r="DD29" s="286"/>
      <c r="DE29" s="286"/>
      <c r="DF29" s="286"/>
      <c r="DG29" s="286"/>
      <c r="DH29" s="286"/>
      <c r="DI29" s="286"/>
      <c r="DJ29" s="286"/>
      <c r="DK29" s="286"/>
      <c r="DL29" s="286"/>
      <c r="DM29" s="286"/>
      <c r="DN29" s="286"/>
      <c r="DO29" s="286"/>
      <c r="DP29" s="286"/>
      <c r="DQ29" s="286"/>
      <c r="DR29" s="286"/>
      <c r="DS29" s="286"/>
      <c r="DT29" s="286"/>
      <c r="DU29" s="286"/>
      <c r="DV29" s="286"/>
      <c r="DW29" s="286"/>
      <c r="DX29" s="286"/>
      <c r="DY29" s="286"/>
      <c r="DZ29" s="286"/>
      <c r="EA29" s="286"/>
      <c r="EB29" s="286"/>
      <c r="EC29" s="286"/>
      <c r="ED29" s="286"/>
      <c r="EE29" s="286"/>
      <c r="EF29" s="286"/>
      <c r="EG29" s="286"/>
      <c r="EH29" s="286"/>
      <c r="EI29" s="286"/>
      <c r="EJ29" s="286"/>
      <c r="EK29" s="286"/>
      <c r="EL29" s="286"/>
      <c r="EM29" s="286"/>
    </row>
    <row r="30" spans="1:143" x14ac:dyDescent="0.2">
      <c r="M30" s="2"/>
      <c r="N30" s="2"/>
    </row>
    <row r="31" spans="1:143" x14ac:dyDescent="0.2">
      <c r="M31" s="2"/>
      <c r="N31" s="2"/>
    </row>
    <row r="32" spans="1:143" x14ac:dyDescent="0.2">
      <c r="M32" s="2"/>
      <c r="N32" s="2"/>
    </row>
    <row r="33" spans="1:56" x14ac:dyDescent="0.2">
      <c r="M33" s="2"/>
      <c r="N33" s="2"/>
    </row>
    <row r="34" spans="1:56" x14ac:dyDescent="0.2">
      <c r="M34" s="2"/>
      <c r="N34" s="2"/>
    </row>
    <row r="35" spans="1:56" x14ac:dyDescent="0.2">
      <c r="M35" s="2"/>
      <c r="N35" s="2"/>
    </row>
    <row r="36" spans="1:56" x14ac:dyDescent="0.2">
      <c r="M36" s="2"/>
      <c r="N36" s="2"/>
    </row>
    <row r="37" spans="1:56" x14ac:dyDescent="0.2">
      <c r="M37" s="2"/>
      <c r="N37" s="2"/>
    </row>
    <row r="38" spans="1:56" x14ac:dyDescent="0.2">
      <c r="M38" s="2"/>
      <c r="N38" s="2"/>
    </row>
    <row r="39" spans="1:56" x14ac:dyDescent="0.2">
      <c r="M39" s="2"/>
      <c r="N39" s="2"/>
    </row>
    <row r="40" spans="1:56" x14ac:dyDescent="0.2">
      <c r="M40" s="2"/>
      <c r="N40" s="2"/>
    </row>
    <row r="41" spans="1:56" x14ac:dyDescent="0.2">
      <c r="M41" s="2"/>
      <c r="N41" s="2"/>
    </row>
    <row r="42" spans="1:56" x14ac:dyDescent="0.2">
      <c r="A42" s="285"/>
      <c r="B42" s="2"/>
      <c r="C42" s="2"/>
      <c r="D42" s="284"/>
      <c r="E42" s="284"/>
      <c r="F42" s="2"/>
      <c r="G42" s="2"/>
      <c r="H42" s="2"/>
      <c r="I42" s="2"/>
      <c r="J42" s="2"/>
      <c r="K42" s="2"/>
      <c r="L42" s="2"/>
      <c r="M42" s="2"/>
      <c r="N42" s="2"/>
    </row>
    <row r="43" spans="1:56" x14ac:dyDescent="0.2">
      <c r="A43" s="285"/>
      <c r="B43" s="2"/>
      <c r="C43" s="2"/>
      <c r="D43" s="284"/>
      <c r="E43" s="284"/>
      <c r="F43" s="2"/>
      <c r="G43" s="2"/>
      <c r="H43" s="2"/>
      <c r="I43" s="2"/>
      <c r="J43" s="2"/>
      <c r="K43" s="2"/>
      <c r="L43" s="2"/>
      <c r="M43" s="2"/>
      <c r="N43" s="2"/>
    </row>
    <row r="44" spans="1:56" x14ac:dyDescent="0.2">
      <c r="A44" s="285"/>
      <c r="B44" s="2"/>
      <c r="C44" s="2"/>
      <c r="D44" s="284"/>
      <c r="E44" s="284"/>
      <c r="F44" s="2"/>
      <c r="G44" s="2"/>
      <c r="H44" s="2"/>
      <c r="I44" s="2"/>
      <c r="J44" s="2"/>
      <c r="K44" s="2"/>
      <c r="L44" s="2"/>
      <c r="M44" s="2"/>
      <c r="N44" s="2"/>
    </row>
    <row r="46" spans="1:56" s="306" customFormat="1" x14ac:dyDescent="0.2">
      <c r="O46" s="307"/>
      <c r="P46" s="307"/>
      <c r="Q46" s="307"/>
      <c r="R46" s="307"/>
      <c r="S46" s="307"/>
      <c r="T46" s="307"/>
      <c r="U46" s="307"/>
      <c r="V46" s="307"/>
      <c r="W46" s="307"/>
      <c r="X46" s="307"/>
      <c r="Y46" s="307"/>
      <c r="Z46" s="30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  <c r="BA46" s="307"/>
      <c r="BB46" s="307"/>
      <c r="BC46" s="307"/>
      <c r="BD46" s="307"/>
    </row>
    <row r="65" spans="1:56" x14ac:dyDescent="0.2">
      <c r="A65" s="285"/>
      <c r="B65" s="2"/>
      <c r="C65" s="2"/>
      <c r="D65" s="284"/>
      <c r="E65" s="284"/>
      <c r="F65" s="2"/>
      <c r="G65" s="2"/>
      <c r="H65" s="2"/>
      <c r="I65" s="2"/>
      <c r="J65" s="2"/>
      <c r="K65" s="2"/>
      <c r="L65" s="2"/>
      <c r="M65" s="2"/>
      <c r="N65" s="2"/>
    </row>
    <row r="66" spans="1:56" x14ac:dyDescent="0.2">
      <c r="A66" s="285"/>
      <c r="B66" s="2"/>
      <c r="C66" s="2"/>
      <c r="D66" s="284"/>
      <c r="E66" s="284"/>
      <c r="F66" s="2"/>
      <c r="G66" s="2"/>
      <c r="H66" s="2"/>
      <c r="I66" s="2"/>
      <c r="J66" s="2"/>
      <c r="K66" s="2"/>
      <c r="L66" s="2"/>
      <c r="M66" s="2"/>
      <c r="N66" s="2"/>
    </row>
    <row r="67" spans="1:56" x14ac:dyDescent="0.2">
      <c r="A67" s="285"/>
      <c r="B67" s="2"/>
      <c r="C67" s="2"/>
      <c r="D67" s="284"/>
      <c r="E67" s="284"/>
      <c r="F67" s="2"/>
      <c r="G67" s="2"/>
      <c r="H67" s="2"/>
      <c r="I67" s="2"/>
      <c r="J67" s="2"/>
      <c r="K67" s="2"/>
      <c r="L67" s="2"/>
      <c r="M67" s="2"/>
      <c r="N67" s="2"/>
    </row>
    <row r="69" spans="1:56" s="306" customFormat="1" x14ac:dyDescent="0.2">
      <c r="O69" s="307"/>
      <c r="P69" s="307"/>
      <c r="Q69" s="307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  <c r="AG69" s="307"/>
      <c r="AH69" s="307"/>
      <c r="AI69" s="307"/>
      <c r="AJ69" s="307"/>
      <c r="AK69" s="307"/>
      <c r="AL69" s="307"/>
      <c r="AM69" s="307"/>
      <c r="AN69" s="307"/>
      <c r="AO69" s="307"/>
      <c r="AP69" s="307"/>
      <c r="AQ69" s="307"/>
      <c r="AR69" s="307"/>
      <c r="AS69" s="307"/>
      <c r="AT69" s="307"/>
      <c r="AU69" s="307"/>
      <c r="AV69" s="307"/>
      <c r="AW69" s="307"/>
      <c r="AX69" s="307"/>
      <c r="AY69" s="307"/>
      <c r="AZ69" s="307"/>
      <c r="BA69" s="307"/>
      <c r="BB69" s="307"/>
      <c r="BC69" s="307"/>
      <c r="BD69" s="307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Zápis-4hráči</vt:lpstr>
      <vt:lpstr>statistika</vt:lpstr>
      <vt:lpstr>!!!čti mne!!!</vt:lpstr>
      <vt:lpstr>stav</vt:lpstr>
      <vt:lpstr>Soupisky</vt:lpstr>
      <vt:lpstr>statistika!Oblast_tisku</vt:lpstr>
      <vt:lpstr>'Zápis-4hráči'!Oblast_tisku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Korbel</dc:creator>
  <cp:lastModifiedBy>Michal Vyleta</cp:lastModifiedBy>
  <cp:lastPrinted>2012-10-15T08:06:03Z</cp:lastPrinted>
  <dcterms:created xsi:type="dcterms:W3CDTF">2003-09-30T10:45:21Z</dcterms:created>
  <dcterms:modified xsi:type="dcterms:W3CDTF">2017-09-13T14:45:21Z</dcterms:modified>
</cp:coreProperties>
</file>